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0-NCTC 18-19\Website and Internet 1819\INFRA Materials\"/>
    </mc:Choice>
  </mc:AlternateContent>
  <workbookProtection workbookAlgorithmName="SHA-512" workbookHashValue="ZcUoLXI18Q8nM29kmoSC4Q/YBzN3xK3mIHYrlHKMaM62zDLtoRyRHeIYxXb0kfD1PaXVP+cXVR61QyH4GtnbGg==" workbookSaltValue="JJ5udRr6TGbOYGZgEb+Ugw==" workbookSpinCount="100000" lockStructure="1"/>
  <bookViews>
    <workbookView xWindow="0" yWindow="0" windowWidth="21570" windowHeight="8145" activeTab="4"/>
  </bookViews>
  <sheets>
    <sheet name="Nev 49 Final Forecast" sheetId="6" r:id="rId1"/>
    <sheet name="NEV 49 Summary" sheetId="2" r:id="rId2"/>
    <sheet name="2016 Traffic Volume Book " sheetId="3" r:id="rId3"/>
    <sheet name="2035-Build &amp; No Build TransCAD" sheetId="4" r:id="rId4"/>
    <sheet name="2012-TransCAD_CT Vols" sheetId="5" r:id="rId5"/>
  </sheets>
  <definedNames>
    <definedName name="_xlnm.Print_Area" localSheetId="3">'2035-Build &amp; No Build TransCAD'!$M$1:$U$22</definedName>
    <definedName name="_xlnm.Print_Area" localSheetId="0">'Nev 49 Final Forecast'!$A$1:$G$24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U15" i="2" l="1"/>
  <c r="Q7" i="2"/>
  <c r="U7" i="2"/>
  <c r="Q15" i="2" l="1"/>
  <c r="T15" i="2"/>
  <c r="T7" i="2"/>
  <c r="P15" i="2"/>
  <c r="P7" i="2"/>
  <c r="C23" i="2"/>
  <c r="C7" i="2" l="1"/>
  <c r="D15" i="2" l="1"/>
  <c r="C15" i="2" l="1"/>
  <c r="D7" i="2"/>
  <c r="B15" i="2"/>
  <c r="B7" i="2"/>
  <c r="I7" i="2" l="1"/>
  <c r="E15" i="2"/>
  <c r="F15" i="2" s="1"/>
  <c r="E7" i="2"/>
  <c r="F7" i="2" s="1"/>
  <c r="U27" i="5"/>
  <c r="U25" i="5"/>
  <c r="O19" i="5"/>
  <c r="O18" i="5"/>
  <c r="O17" i="5"/>
  <c r="O16" i="5"/>
  <c r="P16" i="5" s="1"/>
  <c r="O15" i="5"/>
  <c r="O14" i="5"/>
  <c r="O13" i="5"/>
  <c r="O12" i="5"/>
  <c r="O11" i="5"/>
  <c r="O10" i="5"/>
  <c r="P10" i="5" s="1"/>
  <c r="O9" i="5"/>
  <c r="O8" i="5"/>
  <c r="P8" i="5" s="1"/>
  <c r="O7" i="5"/>
  <c r="O6" i="5"/>
  <c r="Q19" i="5"/>
  <c r="Q18" i="5"/>
  <c r="R18" i="5" s="1"/>
  <c r="Q17" i="5"/>
  <c r="Q16" i="5"/>
  <c r="Q15" i="5"/>
  <c r="Q14" i="5"/>
  <c r="R14" i="5" s="1"/>
  <c r="Q13" i="5"/>
  <c r="R13" i="5" s="1"/>
  <c r="Q12" i="5"/>
  <c r="Q11" i="5"/>
  <c r="Q10" i="5"/>
  <c r="R10" i="5" s="1"/>
  <c r="Q9" i="5"/>
  <c r="Q8" i="5"/>
  <c r="Q7" i="5"/>
  <c r="Q6" i="5"/>
  <c r="R6" i="5" s="1"/>
  <c r="Q5" i="5"/>
  <c r="R5" i="5" s="1"/>
  <c r="O5" i="5"/>
  <c r="P5" i="5" s="1"/>
  <c r="N21" i="5"/>
  <c r="R19" i="5"/>
  <c r="P19" i="5"/>
  <c r="P18" i="5"/>
  <c r="R17" i="5"/>
  <c r="P17" i="5"/>
  <c r="R16" i="5"/>
  <c r="R15" i="5"/>
  <c r="P15" i="5"/>
  <c r="P14" i="5"/>
  <c r="P13" i="5"/>
  <c r="R12" i="5"/>
  <c r="P12" i="5"/>
  <c r="R11" i="5"/>
  <c r="P11" i="5"/>
  <c r="R9" i="5"/>
  <c r="P9" i="5"/>
  <c r="R8" i="5"/>
  <c r="R7" i="5"/>
  <c r="P7" i="5"/>
  <c r="P6" i="5"/>
  <c r="P21" i="5" l="1"/>
  <c r="P25" i="5" s="1"/>
  <c r="R21" i="5"/>
  <c r="P27" i="5" s="1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E21" i="5" l="1"/>
  <c r="E21" i="4"/>
  <c r="Q21" i="4"/>
  <c r="G5" i="5" l="1"/>
  <c r="I5" i="5"/>
  <c r="G6" i="5"/>
  <c r="I6" i="5"/>
  <c r="G7" i="5"/>
  <c r="I7" i="5"/>
  <c r="G8" i="5"/>
  <c r="I8" i="5"/>
  <c r="G9" i="5"/>
  <c r="I9" i="5"/>
  <c r="G10" i="5"/>
  <c r="I10" i="5"/>
  <c r="G11" i="5"/>
  <c r="I11" i="5"/>
  <c r="G12" i="5"/>
  <c r="I12" i="5"/>
  <c r="G13" i="5"/>
  <c r="I13" i="5"/>
  <c r="G14" i="5"/>
  <c r="I14" i="5"/>
  <c r="G15" i="5"/>
  <c r="I15" i="5"/>
  <c r="G16" i="5"/>
  <c r="I16" i="5"/>
  <c r="G17" i="5"/>
  <c r="I17" i="5"/>
  <c r="G18" i="5"/>
  <c r="I18" i="5"/>
  <c r="G19" i="5"/>
  <c r="I19" i="5"/>
  <c r="G5" i="4"/>
  <c r="I5" i="4"/>
  <c r="S5" i="4"/>
  <c r="U5" i="4"/>
  <c r="G6" i="4"/>
  <c r="I6" i="4"/>
  <c r="S6" i="4"/>
  <c r="U6" i="4"/>
  <c r="G7" i="4"/>
  <c r="I7" i="4"/>
  <c r="S7" i="4"/>
  <c r="U7" i="4"/>
  <c r="G8" i="4"/>
  <c r="I8" i="4"/>
  <c r="S8" i="4"/>
  <c r="U8" i="4"/>
  <c r="G9" i="4"/>
  <c r="I9" i="4"/>
  <c r="S9" i="4"/>
  <c r="U9" i="4"/>
  <c r="G10" i="4"/>
  <c r="I10" i="4"/>
  <c r="S10" i="4"/>
  <c r="U10" i="4"/>
  <c r="G11" i="4"/>
  <c r="I11" i="4"/>
  <c r="S11" i="4"/>
  <c r="U11" i="4"/>
  <c r="G12" i="4"/>
  <c r="I12" i="4"/>
  <c r="S12" i="4"/>
  <c r="U12" i="4"/>
  <c r="G13" i="4"/>
  <c r="I13" i="4"/>
  <c r="S13" i="4"/>
  <c r="U13" i="4"/>
  <c r="G14" i="4"/>
  <c r="I14" i="4"/>
  <c r="S14" i="4"/>
  <c r="U14" i="4"/>
  <c r="G15" i="4"/>
  <c r="I15" i="4"/>
  <c r="S15" i="4"/>
  <c r="U15" i="4"/>
  <c r="G16" i="4"/>
  <c r="I16" i="4"/>
  <c r="S16" i="4"/>
  <c r="U16" i="4"/>
  <c r="G17" i="4"/>
  <c r="I17" i="4"/>
  <c r="S17" i="4"/>
  <c r="U17" i="4"/>
  <c r="G18" i="4"/>
  <c r="I18" i="4"/>
  <c r="S18" i="4"/>
  <c r="U18" i="4"/>
  <c r="G19" i="4"/>
  <c r="I19" i="4"/>
  <c r="S19" i="4"/>
  <c r="U19" i="4"/>
  <c r="P4" i="3"/>
  <c r="Q4" i="3" s="1"/>
  <c r="Q8" i="3" s="1"/>
  <c r="C22" i="2"/>
  <c r="I21" i="4" l="1"/>
  <c r="G27" i="4" s="1"/>
  <c r="G21" i="4"/>
  <c r="G25" i="4" s="1"/>
  <c r="U21" i="4"/>
  <c r="R27" i="4" s="1"/>
  <c r="S21" i="4"/>
  <c r="R25" i="4" s="1"/>
  <c r="I21" i="5"/>
  <c r="G27" i="5" s="1"/>
  <c r="G21" i="5"/>
  <c r="G25" i="5" s="1"/>
  <c r="P8" i="3"/>
  <c r="P12" i="3" s="1"/>
  <c r="M7" i="2" s="1"/>
  <c r="R4" i="3"/>
  <c r="R8" i="3" s="1"/>
  <c r="P14" i="3" s="1"/>
  <c r="M15" i="2" s="1"/>
  <c r="I15" i="2" l="1"/>
  <c r="J7" i="2" l="1"/>
  <c r="G7" i="2" s="1"/>
  <c r="N7" i="2" s="1"/>
  <c r="J15" i="2"/>
  <c r="G15" i="2" l="1"/>
  <c r="N15" i="2" s="1"/>
  <c r="B17" i="6" s="1"/>
  <c r="B9" i="6"/>
  <c r="S7" i="2"/>
  <c r="E9" i="6" s="1"/>
  <c r="F9" i="6"/>
  <c r="S15" i="2"/>
  <c r="E17" i="6" s="1"/>
  <c r="D17" i="6" l="1"/>
  <c r="O7" i="2"/>
  <c r="C9" i="6" s="1"/>
  <c r="D9" i="6"/>
  <c r="O15" i="2"/>
  <c r="F17" i="6" l="1"/>
  <c r="C17" i="6"/>
</calcChain>
</file>

<file path=xl/comments1.xml><?xml version="1.0" encoding="utf-8"?>
<comments xmlns="http://schemas.openxmlformats.org/spreadsheetml/2006/main">
  <authors>
    <author>Bhullar, Jasmin@DOT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Bhullar, Jasmin@DOT:</t>
        </r>
        <r>
          <rPr>
            <sz val="9"/>
            <color indexed="81"/>
            <rFont val="Tahoma"/>
            <family val="2"/>
          </rPr>
          <t xml:space="preserve">
TransCAD Build 2035 has a distance of 0.1</t>
        </r>
      </text>
    </comment>
  </commentList>
</comments>
</file>

<file path=xl/sharedStrings.xml><?xml version="1.0" encoding="utf-8"?>
<sst xmlns="http://schemas.openxmlformats.org/spreadsheetml/2006/main" count="190" uniqueCount="71">
  <si>
    <t>20 Year Completion =</t>
  </si>
  <si>
    <t>Completed construction =</t>
  </si>
  <si>
    <t>GR</t>
  </si>
  <si>
    <t>FAC</t>
  </si>
  <si>
    <t>Build Growth Factor</t>
  </si>
  <si>
    <t>No-Build Growth Factor</t>
  </si>
  <si>
    <t>Description and Location</t>
  </si>
  <si>
    <t>ADT</t>
  </si>
  <si>
    <t>2016 Total Weighted Peakhour</t>
  </si>
  <si>
    <t>2016 Total Weighted ADT</t>
  </si>
  <si>
    <t>Total</t>
  </si>
  <si>
    <t>SOUTH GRASS VALLEY</t>
  </si>
  <si>
    <t>13.663</t>
  </si>
  <si>
    <t>R</t>
  </si>
  <si>
    <t>NEV</t>
  </si>
  <si>
    <t>049</t>
  </si>
  <si>
    <t>03</t>
  </si>
  <si>
    <t>LOWER LA BARR MEADOWS ROAD</t>
  </si>
  <si>
    <t>10.71</t>
  </si>
  <si>
    <t>Peak Hour VMT</t>
  </si>
  <si>
    <t>ADT VMT</t>
  </si>
  <si>
    <t>Distance/Length</t>
  </si>
  <si>
    <t>Ahead AADT</t>
  </si>
  <si>
    <t>Ahead Peak Month</t>
  </si>
  <si>
    <t>Ahead Peak Hour</t>
  </si>
  <si>
    <t>Back AADT</t>
  </si>
  <si>
    <t>Back Peak Month</t>
  </si>
  <si>
    <t>Back Peak Hour</t>
  </si>
  <si>
    <t xml:space="preserve"> Description</t>
  </si>
  <si>
    <t xml:space="preserve"> Postmile</t>
  </si>
  <si>
    <t xml:space="preserve">  County</t>
  </si>
  <si>
    <t>Route</t>
  </si>
  <si>
    <t>Dist</t>
  </si>
  <si>
    <t>2035 Total Weighted Peakhour</t>
  </si>
  <si>
    <t>2035 Total Weighted ADT</t>
  </si>
  <si>
    <t>ADT Total</t>
  </si>
  <si>
    <t>Link VMT</t>
  </si>
  <si>
    <t>Total ADT</t>
  </si>
  <si>
    <t xml:space="preserve">Distance </t>
  </si>
  <si>
    <t xml:space="preserve">AUX Lanes </t>
  </si>
  <si>
    <t>PV1 Total</t>
  </si>
  <si>
    <t>Total PV1</t>
  </si>
  <si>
    <t>PV1</t>
  </si>
  <si>
    <t>NCTDM 2035 Build</t>
  </si>
  <si>
    <t>Calculated NB Yrly Growth Rate</t>
  </si>
  <si>
    <t>NCTC</t>
  </si>
  <si>
    <t>Nevada County Travel Demand Forecasting Model 2014</t>
  </si>
  <si>
    <t>D3 Office of System Planning Analysis, Modeling, and Forecasting Branch</t>
  </si>
  <si>
    <t>Difference</t>
  </si>
  <si>
    <t>2012 Total Weighted ADT</t>
  </si>
  <si>
    <t>2012 Total Weighted Peakhour</t>
  </si>
  <si>
    <t>Caltrans 2016</t>
  </si>
  <si>
    <t>NCTDM 2035 NoBuild</t>
  </si>
  <si>
    <t>*The No-Build growth rate was adjusted due to lack of alternative parallel routes.</t>
  </si>
  <si>
    <t>No-Build 2035</t>
  </si>
  <si>
    <t>Build 2035</t>
  </si>
  <si>
    <t>Forecast years to 2035 =</t>
  </si>
  <si>
    <t>*Adjusted NB Yrly Growth Rate (2016 to 2035)</t>
  </si>
  <si>
    <t>Build Yearly Growth Rate (2016 to 2035)</t>
  </si>
  <si>
    <t>No-Build 2023</t>
  </si>
  <si>
    <t>Build 2023</t>
  </si>
  <si>
    <t>No-Build 2043</t>
  </si>
  <si>
    <t>Build 2043</t>
  </si>
  <si>
    <t>Yearly Growth Rate (2035 to 2043)</t>
  </si>
  <si>
    <t>Forecast years to 2043=</t>
  </si>
  <si>
    <t>Forecast years to 2023 =</t>
  </si>
  <si>
    <t>NEV 49 PM 10.8-13.3</t>
  </si>
  <si>
    <r>
      <t xml:space="preserve">NEV 49 PM 10.8-13.3 </t>
    </r>
    <r>
      <rPr>
        <b/>
        <sz val="14"/>
        <color theme="3" tint="-0.249977111117893"/>
        <rFont val="Times New Roman"/>
        <family val="1"/>
      </rPr>
      <t xml:space="preserve">No Build </t>
    </r>
  </si>
  <si>
    <r>
      <t xml:space="preserve">NEV 49 PM 10.8-13.3 </t>
    </r>
    <r>
      <rPr>
        <b/>
        <sz val="14"/>
        <color theme="3" tint="-0.249977111117893"/>
        <rFont val="Times New Roman"/>
        <family val="1"/>
      </rPr>
      <t xml:space="preserve">Build </t>
    </r>
  </si>
  <si>
    <t>NEV 49 PM 10.8-13.3 2012</t>
  </si>
  <si>
    <t>NEV 49 PM 10.8-13.3 Caltrans Vols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</si>
</sst>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b/>
      <sz val="14"/>
      <color theme="3" tint="-0.24997711111789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/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" fontId="6" fillId="5" borderId="0" xfId="0" applyNumberFormat="1" applyFont="1" applyFill="1" applyBorder="1" applyAlignment="1">
      <alignment horizontal="center" vertical="center"/>
    </xf>
    <xf numFmtId="1" fontId="6" fillId="6" borderId="0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2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0" xfId="0" applyFill="1"/>
    <xf numFmtId="0" fontId="0" fillId="7" borderId="0" xfId="0" applyFill="1"/>
    <xf numFmtId="0" fontId="0" fillId="8" borderId="0" xfId="0" applyFill="1"/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0" fillId="5" borderId="0" xfId="0" applyFill="1"/>
    <xf numFmtId="3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Font="1" applyAlignment="1"/>
    <xf numFmtId="1" fontId="0" fillId="0" borderId="0" xfId="0" applyNumberFormat="1"/>
    <xf numFmtId="1" fontId="0" fillId="2" borderId="0" xfId="0" applyNumberFormat="1" applyFill="1"/>
    <xf numFmtId="1" fontId="0" fillId="7" borderId="0" xfId="0" applyNumberFormat="1" applyFill="1"/>
    <xf numFmtId="3" fontId="0" fillId="5" borderId="5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3" fontId="0" fillId="0" borderId="17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/>
    </xf>
    <xf numFmtId="0" fontId="12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J14" sqref="A1:XFD1048576"/>
    </sheetView>
  </sheetViews>
  <sheetFormatPr defaultRowHeight="15" x14ac:dyDescent="0.25"/>
  <cols>
    <col min="1" max="1" width="13.28515625" customWidth="1"/>
  </cols>
  <sheetData>
    <row r="1" spans="1:6" ht="15.75" x14ac:dyDescent="0.25">
      <c r="A1" s="58" t="s">
        <v>66</v>
      </c>
      <c r="B1" s="58"/>
      <c r="C1" s="58"/>
      <c r="D1" s="58"/>
      <c r="E1" s="58"/>
      <c r="F1" s="58"/>
    </row>
    <row r="3" spans="1:6" x14ac:dyDescent="0.25">
      <c r="A3" s="1"/>
    </row>
    <row r="4" spans="1:6" ht="15.75" thickBot="1" x14ac:dyDescent="0.3"/>
    <row r="5" spans="1:6" x14ac:dyDescent="0.25">
      <c r="A5" s="59" t="s">
        <v>6</v>
      </c>
      <c r="B5" s="59">
        <v>2017</v>
      </c>
      <c r="C5" s="59" t="s">
        <v>59</v>
      </c>
      <c r="D5" s="59" t="s">
        <v>61</v>
      </c>
      <c r="E5" s="59" t="s">
        <v>60</v>
      </c>
      <c r="F5" s="59" t="s">
        <v>62</v>
      </c>
    </row>
    <row r="6" spans="1:6" x14ac:dyDescent="0.25">
      <c r="A6" s="60"/>
      <c r="B6" s="60"/>
      <c r="C6" s="60"/>
      <c r="D6" s="60"/>
      <c r="E6" s="60"/>
      <c r="F6" s="60"/>
    </row>
    <row r="7" spans="1:6" ht="15.75" thickBot="1" x14ac:dyDescent="0.3">
      <c r="A7" s="61"/>
      <c r="B7" s="61"/>
      <c r="C7" s="61"/>
      <c r="D7" s="61"/>
      <c r="E7" s="61"/>
      <c r="F7" s="61"/>
    </row>
    <row r="8" spans="1:6" ht="15.75" thickBot="1" x14ac:dyDescent="0.3">
      <c r="A8" s="12">
        <v>49</v>
      </c>
      <c r="B8" s="12" t="s">
        <v>7</v>
      </c>
      <c r="C8" s="12" t="s">
        <v>7</v>
      </c>
      <c r="D8" s="12" t="s">
        <v>7</v>
      </c>
      <c r="E8" s="12" t="s">
        <v>7</v>
      </c>
      <c r="F8" s="12" t="s">
        <v>7</v>
      </c>
    </row>
    <row r="9" spans="1:6" ht="30.75" thickBot="1" x14ac:dyDescent="0.3">
      <c r="A9" s="11" t="s">
        <v>66</v>
      </c>
      <c r="B9" s="10">
        <f>'NEV 49 Summary'!N7</f>
        <v>25240</v>
      </c>
      <c r="C9" s="10">
        <f>'NEV 49 Summary'!O7</f>
        <v>27910</v>
      </c>
      <c r="D9" s="10">
        <f>'NEV 49 Summary'!Q7</f>
        <v>35900</v>
      </c>
      <c r="E9" s="10">
        <f>'NEV 49 Summary'!S7</f>
        <v>28690</v>
      </c>
      <c r="F9" s="10">
        <f>'NEV 49 Summary'!U7</f>
        <v>38180</v>
      </c>
    </row>
    <row r="10" spans="1:6" x14ac:dyDescent="0.25">
      <c r="E10" s="35"/>
      <c r="F10" s="35"/>
    </row>
    <row r="12" spans="1:6" ht="15.75" thickBot="1" x14ac:dyDescent="0.3"/>
    <row r="13" spans="1:6" x14ac:dyDescent="0.25">
      <c r="A13" s="59" t="s">
        <v>6</v>
      </c>
      <c r="B13" s="59">
        <v>2017</v>
      </c>
      <c r="C13" s="59" t="s">
        <v>59</v>
      </c>
      <c r="D13" s="59" t="s">
        <v>61</v>
      </c>
      <c r="E13" s="59" t="s">
        <v>60</v>
      </c>
      <c r="F13" s="59" t="s">
        <v>62</v>
      </c>
    </row>
    <row r="14" spans="1:6" x14ac:dyDescent="0.25">
      <c r="A14" s="60"/>
      <c r="B14" s="60"/>
      <c r="C14" s="60"/>
      <c r="D14" s="60"/>
      <c r="E14" s="60"/>
      <c r="F14" s="60"/>
    </row>
    <row r="15" spans="1:6" ht="15.75" thickBot="1" x14ac:dyDescent="0.3">
      <c r="A15" s="61"/>
      <c r="B15" s="61"/>
      <c r="C15" s="61"/>
      <c r="D15" s="61"/>
      <c r="E15" s="61"/>
      <c r="F15" s="61"/>
    </row>
    <row r="16" spans="1:6" ht="21.75" customHeight="1" thickBot="1" x14ac:dyDescent="0.3">
      <c r="A16" s="12">
        <v>49</v>
      </c>
      <c r="B16" s="5" t="s">
        <v>42</v>
      </c>
      <c r="C16" s="5" t="s">
        <v>42</v>
      </c>
      <c r="D16" s="5" t="s">
        <v>42</v>
      </c>
      <c r="E16" s="5" t="s">
        <v>42</v>
      </c>
      <c r="F16" s="5" t="s">
        <v>42</v>
      </c>
    </row>
    <row r="17" spans="1:6" ht="30.75" thickBot="1" x14ac:dyDescent="0.3">
      <c r="A17" s="4" t="s">
        <v>66</v>
      </c>
      <c r="B17" s="10">
        <f>'NEV 49 Summary'!N15</f>
        <v>2390</v>
      </c>
      <c r="C17" s="10">
        <f>'NEV 49 Summary'!O15</f>
        <v>2620</v>
      </c>
      <c r="D17" s="10">
        <f>'NEV 49 Summary'!Q15</f>
        <v>3340</v>
      </c>
      <c r="E17" s="10">
        <f>'NEV 49 Summary'!S15</f>
        <v>2690</v>
      </c>
      <c r="F17" s="10">
        <f>'NEV 49 Summary'!U15</f>
        <v>3530</v>
      </c>
    </row>
    <row r="22" spans="1:6" x14ac:dyDescent="0.25">
      <c r="A22" s="57">
        <v>43523</v>
      </c>
      <c r="B22" s="57"/>
    </row>
    <row r="23" spans="1:6" x14ac:dyDescent="0.25">
      <c r="A23" t="s">
        <v>47</v>
      </c>
    </row>
  </sheetData>
  <sheetProtection algorithmName="SHA-512" hashValue="XpLBJRLLd12CUHv7Ks2XLs1Yb/rwJ8xLXGzxjjf5lsMgCvly0XRcC5+l3H6h2TUWlvUU9zaZgdpQzm5SRVsV3w==" saltValue="hvY9XzDFrFid6sZbwlequQ==" spinCount="100000" sheet="1" objects="1" scenarios="1"/>
  <mergeCells count="14">
    <mergeCell ref="A22:B22"/>
    <mergeCell ref="A1:F1"/>
    <mergeCell ref="F5:F7"/>
    <mergeCell ref="B13:B15"/>
    <mergeCell ref="C13:C15"/>
    <mergeCell ref="D13:D15"/>
    <mergeCell ref="E13:E15"/>
    <mergeCell ref="F13:F15"/>
    <mergeCell ref="E5:E7"/>
    <mergeCell ref="A5:A7"/>
    <mergeCell ref="A13:A15"/>
    <mergeCell ref="B5:B7"/>
    <mergeCell ref="C5:C7"/>
    <mergeCell ref="D5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I21" sqref="A1:XFD1048576"/>
    </sheetView>
  </sheetViews>
  <sheetFormatPr defaultRowHeight="15" x14ac:dyDescent="0.25"/>
  <cols>
    <col min="1" max="1" width="11.140625" customWidth="1"/>
    <col min="2" max="2" width="10" customWidth="1"/>
    <col min="6" max="6" width="7.7109375" customWidth="1"/>
    <col min="7" max="7" width="10.42578125" customWidth="1"/>
    <col min="8" max="8" width="3.140625" customWidth="1"/>
    <col min="12" max="12" width="3.28515625" customWidth="1"/>
    <col min="18" max="18" width="3.7109375" customWidth="1"/>
  </cols>
  <sheetData>
    <row r="1" spans="1:24" x14ac:dyDescent="0.25">
      <c r="A1" s="1" t="s">
        <v>66</v>
      </c>
    </row>
    <row r="2" spans="1:24" ht="15.75" thickBot="1" x14ac:dyDescent="0.3"/>
    <row r="3" spans="1:24" x14ac:dyDescent="0.25">
      <c r="A3" s="59" t="s">
        <v>6</v>
      </c>
      <c r="B3" s="59" t="s">
        <v>51</v>
      </c>
      <c r="C3" s="59" t="s">
        <v>52</v>
      </c>
      <c r="D3" s="59" t="s">
        <v>43</v>
      </c>
      <c r="E3" s="59" t="s">
        <v>5</v>
      </c>
      <c r="F3" s="63" t="s">
        <v>44</v>
      </c>
      <c r="G3" s="63" t="s">
        <v>57</v>
      </c>
      <c r="H3" s="43"/>
      <c r="I3" s="59" t="s">
        <v>4</v>
      </c>
      <c r="J3" s="63" t="s">
        <v>58</v>
      </c>
      <c r="K3" s="63" t="s">
        <v>63</v>
      </c>
      <c r="L3" s="59"/>
      <c r="M3" s="59">
        <v>2016</v>
      </c>
      <c r="N3" s="59">
        <v>2017</v>
      </c>
      <c r="O3" s="59" t="s">
        <v>59</v>
      </c>
      <c r="P3" s="59" t="s">
        <v>54</v>
      </c>
      <c r="Q3" s="59" t="s">
        <v>61</v>
      </c>
      <c r="R3" s="53"/>
      <c r="S3" s="59" t="s">
        <v>60</v>
      </c>
      <c r="T3" s="59" t="s">
        <v>55</v>
      </c>
      <c r="U3" s="59" t="s">
        <v>62</v>
      </c>
    </row>
    <row r="4" spans="1:24" x14ac:dyDescent="0.25">
      <c r="A4" s="60"/>
      <c r="B4" s="60"/>
      <c r="C4" s="60"/>
      <c r="D4" s="60"/>
      <c r="E4" s="60"/>
      <c r="F4" s="64"/>
      <c r="G4" s="64"/>
      <c r="H4" s="44"/>
      <c r="I4" s="60"/>
      <c r="J4" s="64"/>
      <c r="K4" s="64"/>
      <c r="L4" s="60"/>
      <c r="M4" s="60"/>
      <c r="N4" s="60"/>
      <c r="O4" s="60"/>
      <c r="P4" s="60"/>
      <c r="Q4" s="60"/>
      <c r="R4" s="54"/>
      <c r="S4" s="60"/>
      <c r="T4" s="60"/>
      <c r="U4" s="60"/>
    </row>
    <row r="5" spans="1:24" ht="30.75" customHeight="1" thickBot="1" x14ac:dyDescent="0.3">
      <c r="A5" s="61"/>
      <c r="B5" s="61"/>
      <c r="C5" s="61"/>
      <c r="D5" s="61"/>
      <c r="E5" s="61"/>
      <c r="F5" s="65"/>
      <c r="G5" s="65"/>
      <c r="H5" s="45"/>
      <c r="I5" s="61"/>
      <c r="J5" s="65"/>
      <c r="K5" s="65"/>
      <c r="L5" s="61"/>
      <c r="M5" s="61"/>
      <c r="N5" s="61"/>
      <c r="O5" s="61"/>
      <c r="P5" s="61"/>
      <c r="Q5" s="61"/>
      <c r="R5" s="55"/>
      <c r="S5" s="61"/>
      <c r="T5" s="61"/>
      <c r="U5" s="61"/>
    </row>
    <row r="6" spans="1:24" ht="15.75" thickBot="1" x14ac:dyDescent="0.3">
      <c r="A6" s="12">
        <v>49</v>
      </c>
      <c r="B6" s="12" t="s">
        <v>7</v>
      </c>
      <c r="C6" s="12" t="s">
        <v>7</v>
      </c>
      <c r="D6" s="12" t="s">
        <v>7</v>
      </c>
      <c r="E6" s="12" t="s">
        <v>3</v>
      </c>
      <c r="F6" s="12" t="s">
        <v>2</v>
      </c>
      <c r="G6" s="12" t="s">
        <v>2</v>
      </c>
      <c r="H6" s="12"/>
      <c r="I6" s="12" t="s">
        <v>3</v>
      </c>
      <c r="J6" s="12" t="s">
        <v>2</v>
      </c>
      <c r="K6" s="12" t="s">
        <v>2</v>
      </c>
      <c r="L6" s="12"/>
      <c r="M6" s="12" t="s">
        <v>7</v>
      </c>
      <c r="N6" s="12" t="s">
        <v>7</v>
      </c>
      <c r="O6" s="12" t="s">
        <v>7</v>
      </c>
      <c r="P6" s="12" t="s">
        <v>7</v>
      </c>
      <c r="Q6" s="12" t="s">
        <v>7</v>
      </c>
      <c r="R6" s="12"/>
      <c r="S6" s="12" t="s">
        <v>7</v>
      </c>
      <c r="T6" s="12" t="s">
        <v>7</v>
      </c>
      <c r="U6" s="12" t="s">
        <v>7</v>
      </c>
    </row>
    <row r="7" spans="1:24" ht="30.75" thickBot="1" x14ac:dyDescent="0.3">
      <c r="A7" s="11" t="s">
        <v>66</v>
      </c>
      <c r="B7" s="48">
        <f>'2016 Traffic Volume Book '!P12</f>
        <v>24799.999999999996</v>
      </c>
      <c r="C7" s="10">
        <f>'2035-Build &amp; No Build TransCAD'!G25+'2012-TransCAD_CT Vols'!U25</f>
        <v>25634.717391304344</v>
      </c>
      <c r="D7" s="10">
        <f>'2035-Build &amp; No Build TransCAD'!R25+'2012-TransCAD_CT Vols'!U25</f>
        <v>35350.156521739118</v>
      </c>
      <c r="E7" s="9">
        <f>C7/B7</f>
        <v>1.0336579593267883</v>
      </c>
      <c r="F7" s="8">
        <f>(E7-1)/(2035-2016)</f>
        <v>1.7714715435151725E-3</v>
      </c>
      <c r="G7" s="8">
        <f>J7*0.8</f>
        <v>1.7911980512290534E-2</v>
      </c>
      <c r="H7" s="8"/>
      <c r="I7" s="9">
        <f>D7/B7</f>
        <v>1.4254095371669002</v>
      </c>
      <c r="J7" s="8">
        <f>(I7-1)/(2035-2016)</f>
        <v>2.2389975640363168E-2</v>
      </c>
      <c r="K7" s="8">
        <v>0.01</v>
      </c>
      <c r="L7" s="7"/>
      <c r="M7" s="10">
        <f>'2016 Traffic Volume Book '!P12</f>
        <v>24799.999999999996</v>
      </c>
      <c r="N7" s="6">
        <f>ROUND((((1*G7)+1)*M7),-1)</f>
        <v>25240</v>
      </c>
      <c r="O7" s="6">
        <f>ROUND(((($C$22*G7)+1)*M7),-1)</f>
        <v>27910</v>
      </c>
      <c r="P7" s="6">
        <f>ROUND(((($C$23*G7)+1)*M7),-1)</f>
        <v>33240</v>
      </c>
      <c r="Q7" s="6">
        <f>ROUND(((($K$7*$C$24)+1)*P7),-1)</f>
        <v>35900</v>
      </c>
      <c r="R7" s="6"/>
      <c r="S7" s="6">
        <f>ROUND(((($C$22*J7)+1)*M7),-1)</f>
        <v>28690</v>
      </c>
      <c r="T7" s="6">
        <f>ROUND(((($C$23*J7)+1)*M7),-1)</f>
        <v>35350</v>
      </c>
      <c r="U7" s="6">
        <f>ROUND(((($K$7*$C$24)+1)*T7),-1)</f>
        <v>38180</v>
      </c>
      <c r="W7" s="35"/>
      <c r="X7" s="35"/>
    </row>
    <row r="8" spans="1:24" x14ac:dyDescent="0.25">
      <c r="O8" s="35"/>
      <c r="P8" s="35"/>
      <c r="Q8" s="35"/>
      <c r="R8" s="35"/>
    </row>
    <row r="10" spans="1:24" ht="15.75" thickBot="1" x14ac:dyDescent="0.3"/>
    <row r="11" spans="1:24" ht="14.45" customHeight="1" x14ac:dyDescent="0.25">
      <c r="A11" s="59" t="s">
        <v>6</v>
      </c>
      <c r="B11" s="59" t="s">
        <v>51</v>
      </c>
      <c r="C11" s="59" t="s">
        <v>52</v>
      </c>
      <c r="D11" s="59" t="s">
        <v>43</v>
      </c>
      <c r="E11" s="59" t="s">
        <v>5</v>
      </c>
      <c r="F11" s="63" t="s">
        <v>44</v>
      </c>
      <c r="G11" s="63" t="s">
        <v>57</v>
      </c>
      <c r="H11" s="43"/>
      <c r="I11" s="59" t="s">
        <v>4</v>
      </c>
      <c r="J11" s="63" t="s">
        <v>58</v>
      </c>
      <c r="K11" s="63" t="s">
        <v>63</v>
      </c>
      <c r="L11" s="59"/>
      <c r="M11" s="59" t="s">
        <v>42</v>
      </c>
      <c r="N11" s="59">
        <v>2017</v>
      </c>
      <c r="O11" s="59" t="s">
        <v>59</v>
      </c>
      <c r="P11" s="59" t="s">
        <v>54</v>
      </c>
      <c r="Q11" s="59" t="s">
        <v>61</v>
      </c>
      <c r="R11" s="53"/>
      <c r="S11" s="59" t="s">
        <v>60</v>
      </c>
      <c r="T11" s="59" t="s">
        <v>55</v>
      </c>
      <c r="U11" s="59" t="s">
        <v>62</v>
      </c>
    </row>
    <row r="12" spans="1:24" ht="15" customHeight="1" x14ac:dyDescent="0.25">
      <c r="A12" s="60"/>
      <c r="B12" s="60"/>
      <c r="C12" s="60"/>
      <c r="D12" s="60"/>
      <c r="E12" s="60"/>
      <c r="F12" s="64"/>
      <c r="G12" s="64"/>
      <c r="H12" s="44"/>
      <c r="I12" s="60"/>
      <c r="J12" s="64"/>
      <c r="K12" s="64"/>
      <c r="L12" s="60"/>
      <c r="M12" s="60"/>
      <c r="N12" s="60"/>
      <c r="O12" s="60"/>
      <c r="P12" s="60"/>
      <c r="Q12" s="60"/>
      <c r="R12" s="54"/>
      <c r="S12" s="60"/>
      <c r="T12" s="60"/>
      <c r="U12" s="60"/>
    </row>
    <row r="13" spans="1:24" ht="21.6" customHeight="1" thickBot="1" x14ac:dyDescent="0.3">
      <c r="A13" s="61"/>
      <c r="B13" s="61"/>
      <c r="C13" s="61"/>
      <c r="D13" s="61"/>
      <c r="E13" s="61"/>
      <c r="F13" s="65"/>
      <c r="G13" s="65"/>
      <c r="H13" s="45"/>
      <c r="I13" s="61"/>
      <c r="J13" s="65"/>
      <c r="K13" s="65"/>
      <c r="L13" s="61"/>
      <c r="M13" s="61"/>
      <c r="N13" s="61"/>
      <c r="O13" s="61"/>
      <c r="P13" s="61"/>
      <c r="Q13" s="61"/>
      <c r="R13" s="55"/>
      <c r="S13" s="61"/>
      <c r="T13" s="61"/>
      <c r="U13" s="61"/>
    </row>
    <row r="14" spans="1:24" ht="19.5" customHeight="1" thickBot="1" x14ac:dyDescent="0.3">
      <c r="A14" s="5">
        <v>49</v>
      </c>
      <c r="B14" s="5" t="s">
        <v>42</v>
      </c>
      <c r="C14" s="5" t="s">
        <v>42</v>
      </c>
      <c r="D14" s="5" t="s">
        <v>42</v>
      </c>
      <c r="E14" s="5" t="s">
        <v>3</v>
      </c>
      <c r="F14" s="5" t="s">
        <v>2</v>
      </c>
      <c r="G14" s="5" t="s">
        <v>2</v>
      </c>
      <c r="H14" s="5"/>
      <c r="I14" s="5" t="s">
        <v>3</v>
      </c>
      <c r="J14" s="5" t="s">
        <v>2</v>
      </c>
      <c r="K14" s="5" t="s">
        <v>2</v>
      </c>
      <c r="L14" s="5"/>
      <c r="M14" s="5" t="s">
        <v>42</v>
      </c>
      <c r="N14" s="5" t="s">
        <v>42</v>
      </c>
      <c r="O14" s="5" t="s">
        <v>42</v>
      </c>
      <c r="P14" s="5" t="s">
        <v>42</v>
      </c>
      <c r="Q14" s="5" t="s">
        <v>42</v>
      </c>
      <c r="R14" s="5"/>
      <c r="S14" s="5" t="s">
        <v>42</v>
      </c>
      <c r="T14" s="5" t="s">
        <v>42</v>
      </c>
      <c r="U14" s="5" t="s">
        <v>42</v>
      </c>
    </row>
    <row r="15" spans="1:24" ht="30.75" thickBot="1" x14ac:dyDescent="0.3">
      <c r="A15" s="11" t="s">
        <v>66</v>
      </c>
      <c r="B15" s="47">
        <f>'2016 Traffic Volume Book '!P14</f>
        <v>2350</v>
      </c>
      <c r="C15" s="10">
        <f>'2035-Build &amp; No Build TransCAD'!G27+'2012-TransCAD_CT Vols'!U27</f>
        <v>2339.5695652173913</v>
      </c>
      <c r="D15" s="10">
        <f>'2035-Build &amp; No Build TransCAD'!R27+'2012-TransCAD_CT Vols'!U27</f>
        <v>3269.1130434782608</v>
      </c>
      <c r="E15" s="9">
        <f>C15/B15</f>
        <v>0.99556151711378349</v>
      </c>
      <c r="F15" s="8">
        <f>(E15-1)/(2035-2016)</f>
        <v>-2.3360436243244793E-4</v>
      </c>
      <c r="G15" s="8">
        <f>J15*0.8</f>
        <v>1.6467870879789667E-2</v>
      </c>
      <c r="H15" s="8"/>
      <c r="I15" s="9">
        <f>D15/B15</f>
        <v>1.3911119333950046</v>
      </c>
      <c r="J15" s="8">
        <f>(I15-1)/(2035-2016)</f>
        <v>2.0584838599737084E-2</v>
      </c>
      <c r="K15" s="8">
        <v>0.01</v>
      </c>
      <c r="L15" s="7"/>
      <c r="M15" s="10">
        <f>'2016 Traffic Volume Book '!P14</f>
        <v>2350</v>
      </c>
      <c r="N15" s="6">
        <f>ROUND((((1*G15)+1)*M15),-1)</f>
        <v>2390</v>
      </c>
      <c r="O15" s="6">
        <f>ROUND(((($C$22*G15)+1)*M15),-1)</f>
        <v>2620</v>
      </c>
      <c r="P15" s="6">
        <f>ROUND(((($C$23*G15)+1)*M15),-1)</f>
        <v>3090</v>
      </c>
      <c r="Q15" s="6">
        <f>ROUND(((($C$24*K15)+1)*P15),-1)</f>
        <v>3340</v>
      </c>
      <c r="R15" s="6"/>
      <c r="S15" s="6">
        <f>ROUND(((($C$22*J15)+1)*M15),-1)</f>
        <v>2690</v>
      </c>
      <c r="T15" s="6">
        <f>ROUND(((($C$23*J15)+1)*M15),-1)</f>
        <v>3270</v>
      </c>
      <c r="U15" s="6">
        <f>ROUND(((($K$7*$C$24)+1)*T15),-1)</f>
        <v>3530</v>
      </c>
      <c r="V15" s="50"/>
    </row>
    <row r="16" spans="1:24" x14ac:dyDescent="0.25">
      <c r="E16" s="3"/>
    </row>
    <row r="20" spans="1:14" x14ac:dyDescent="0.25">
      <c r="A20" t="s">
        <v>1</v>
      </c>
      <c r="C20" s="2">
        <v>2023</v>
      </c>
    </row>
    <row r="21" spans="1:14" x14ac:dyDescent="0.25">
      <c r="A21" t="s">
        <v>0</v>
      </c>
      <c r="C21" s="2">
        <v>2043</v>
      </c>
    </row>
    <row r="22" spans="1:14" x14ac:dyDescent="0.25">
      <c r="A22" t="s">
        <v>65</v>
      </c>
      <c r="C22" s="2">
        <f>C20-2016</f>
        <v>7</v>
      </c>
    </row>
    <row r="23" spans="1:14" x14ac:dyDescent="0.25">
      <c r="A23" t="s">
        <v>56</v>
      </c>
      <c r="C23" s="2">
        <f>2035-2016</f>
        <v>19</v>
      </c>
    </row>
    <row r="24" spans="1:14" x14ac:dyDescent="0.25">
      <c r="A24" t="s">
        <v>64</v>
      </c>
      <c r="C24" s="2">
        <f>C21-2035</f>
        <v>8</v>
      </c>
    </row>
    <row r="27" spans="1:14" ht="18.75" customHeight="1" x14ac:dyDescent="0.25">
      <c r="A27" s="62" t="s">
        <v>53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49"/>
    </row>
    <row r="28" spans="1:14" ht="12.6" customHeight="1" x14ac:dyDescent="0.25">
      <c r="A28" s="36"/>
      <c r="B28" s="36"/>
      <c r="C28" s="36"/>
      <c r="D28" s="36"/>
      <c r="E28" s="36"/>
      <c r="F28" s="36"/>
      <c r="G28" s="36"/>
      <c r="H28" s="46"/>
      <c r="I28" s="36"/>
      <c r="J28" s="36"/>
      <c r="K28" s="56"/>
      <c r="L28" s="36"/>
    </row>
    <row r="29" spans="1:14" x14ac:dyDescent="0.25">
      <c r="A29" s="37"/>
      <c r="B29" s="37"/>
      <c r="C29" s="37"/>
      <c r="D29" s="37"/>
      <c r="E29" s="37"/>
      <c r="F29" s="37"/>
    </row>
    <row r="31" spans="1:14" x14ac:dyDescent="0.25">
      <c r="D31" s="1"/>
    </row>
  </sheetData>
  <sheetProtection algorithmName="SHA-512" hashValue="Rd0jgc+O3WKwFkxGoWNbdNxSbXBzRNLdH2Hncqb+rd6br/ak/XPeceJYB/Ns/V6tvOuQBRaZn+oeC4Am2iVdnQ==" saltValue="koPBYuNVfc2XANY3lPtfnQ==" spinCount="100000" sheet="1" objects="1" scenarios="1"/>
  <mergeCells count="39">
    <mergeCell ref="K3:K5"/>
    <mergeCell ref="K11:K13"/>
    <mergeCell ref="N3:N5"/>
    <mergeCell ref="N11:N13"/>
    <mergeCell ref="S11:S13"/>
    <mergeCell ref="U11:U13"/>
    <mergeCell ref="O3:O5"/>
    <mergeCell ref="Q3:Q5"/>
    <mergeCell ref="S3:S5"/>
    <mergeCell ref="U3:U5"/>
    <mergeCell ref="O11:O13"/>
    <mergeCell ref="Q11:Q13"/>
    <mergeCell ref="P3:P5"/>
    <mergeCell ref="T3:T5"/>
    <mergeCell ref="P11:P13"/>
    <mergeCell ref="T11:T13"/>
    <mergeCell ref="A27:M27"/>
    <mergeCell ref="M3:M5"/>
    <mergeCell ref="G3:G5"/>
    <mergeCell ref="F11:F13"/>
    <mergeCell ref="I11:I13"/>
    <mergeCell ref="J11:J13"/>
    <mergeCell ref="L11:L13"/>
    <mergeCell ref="M11:M13"/>
    <mergeCell ref="G11:G13"/>
    <mergeCell ref="F3:F5"/>
    <mergeCell ref="I3:I5"/>
    <mergeCell ref="J3:J5"/>
    <mergeCell ref="L3:L5"/>
    <mergeCell ref="A11:A13"/>
    <mergeCell ref="B11:B13"/>
    <mergeCell ref="C11:C13"/>
    <mergeCell ref="D11:D13"/>
    <mergeCell ref="E11:E13"/>
    <mergeCell ref="A3:A5"/>
    <mergeCell ref="B3:B5"/>
    <mergeCell ref="C3:C5"/>
    <mergeCell ref="D3:D5"/>
    <mergeCell ref="E3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workbookViewId="0">
      <selection activeCell="H29" sqref="H29"/>
    </sheetView>
  </sheetViews>
  <sheetFormatPr defaultRowHeight="15" x14ac:dyDescent="0.25"/>
  <cols>
    <col min="8" max="8" width="43.5703125" customWidth="1"/>
    <col min="15" max="15" width="10.5703125" customWidth="1"/>
  </cols>
  <sheetData>
    <row r="2" spans="1:18" ht="45" x14ac:dyDescent="0.25">
      <c r="A2" s="15" t="s">
        <v>32</v>
      </c>
      <c r="B2" s="25" t="s">
        <v>31</v>
      </c>
      <c r="C2" s="25"/>
      <c r="D2" s="25" t="s">
        <v>30</v>
      </c>
      <c r="E2" s="25"/>
      <c r="F2" s="25" t="s">
        <v>29</v>
      </c>
      <c r="G2" s="25"/>
      <c r="H2" s="25" t="s">
        <v>28</v>
      </c>
      <c r="I2" s="24" t="s">
        <v>27</v>
      </c>
      <c r="J2" s="24" t="s">
        <v>26</v>
      </c>
      <c r="K2" s="23" t="s">
        <v>25</v>
      </c>
      <c r="L2" s="24" t="s">
        <v>24</v>
      </c>
      <c r="M2" s="24" t="s">
        <v>23</v>
      </c>
      <c r="N2" s="24" t="s">
        <v>22</v>
      </c>
      <c r="P2" s="23" t="s">
        <v>21</v>
      </c>
      <c r="Q2" s="23" t="s">
        <v>20</v>
      </c>
      <c r="R2" s="23" t="s">
        <v>19</v>
      </c>
    </row>
    <row r="3" spans="1:18" x14ac:dyDescent="0.25">
      <c r="A3" s="20"/>
      <c r="B3" s="20"/>
      <c r="C3" s="20"/>
      <c r="D3" s="20"/>
      <c r="E3" s="20"/>
      <c r="F3" s="20"/>
      <c r="G3" s="20"/>
      <c r="H3" s="19"/>
      <c r="I3" s="18"/>
      <c r="J3" s="18"/>
      <c r="K3" s="18"/>
      <c r="L3" s="17"/>
      <c r="M3" s="18"/>
      <c r="N3" s="17"/>
    </row>
    <row r="4" spans="1:18" x14ac:dyDescent="0.25">
      <c r="A4" s="20" t="s">
        <v>16</v>
      </c>
      <c r="B4" s="20" t="s">
        <v>15</v>
      </c>
      <c r="C4" s="20"/>
      <c r="D4" s="20" t="s">
        <v>14</v>
      </c>
      <c r="E4" s="20"/>
      <c r="F4" s="20" t="s">
        <v>18</v>
      </c>
      <c r="G4" s="20"/>
      <c r="H4" s="19" t="s">
        <v>17</v>
      </c>
      <c r="I4" s="18">
        <v>2300</v>
      </c>
      <c r="J4" s="18">
        <v>25500</v>
      </c>
      <c r="K4" s="18">
        <v>24200</v>
      </c>
      <c r="L4" s="22">
        <v>2350</v>
      </c>
      <c r="M4" s="18">
        <v>26500</v>
      </c>
      <c r="N4" s="21">
        <v>24800</v>
      </c>
      <c r="P4">
        <f>F5-F4</f>
        <v>2.9529999999999994</v>
      </c>
      <c r="Q4">
        <f>P4*N4</f>
        <v>73234.39999999998</v>
      </c>
      <c r="R4">
        <f>P4*L4</f>
        <v>6939.5499999999984</v>
      </c>
    </row>
    <row r="5" spans="1:18" x14ac:dyDescent="0.25">
      <c r="A5" s="20" t="s">
        <v>16</v>
      </c>
      <c r="B5" s="20" t="s">
        <v>15</v>
      </c>
      <c r="C5" s="20"/>
      <c r="D5" s="20" t="s">
        <v>14</v>
      </c>
      <c r="E5" s="20" t="s">
        <v>13</v>
      </c>
      <c r="F5" s="20" t="s">
        <v>12</v>
      </c>
      <c r="G5" s="20"/>
      <c r="H5" s="19" t="s">
        <v>11</v>
      </c>
      <c r="I5" s="18">
        <v>2600</v>
      </c>
      <c r="J5" s="18">
        <v>28500</v>
      </c>
      <c r="K5" s="18">
        <v>26800</v>
      </c>
      <c r="L5" s="22">
        <v>3200</v>
      </c>
      <c r="M5" s="18">
        <v>35000</v>
      </c>
      <c r="N5" s="21">
        <v>31900</v>
      </c>
    </row>
    <row r="6" spans="1:18" x14ac:dyDescent="0.25">
      <c r="A6" s="20"/>
      <c r="B6" s="20"/>
      <c r="C6" s="20"/>
      <c r="D6" s="20"/>
      <c r="E6" s="20"/>
      <c r="F6" s="20"/>
      <c r="G6" s="20"/>
      <c r="H6" s="19"/>
      <c r="I6" s="18"/>
      <c r="J6" s="18"/>
      <c r="K6" s="18"/>
      <c r="L6" s="17"/>
      <c r="M6" s="18"/>
      <c r="N6" s="17"/>
      <c r="O6" s="16"/>
    </row>
    <row r="8" spans="1:18" x14ac:dyDescent="0.25">
      <c r="O8" s="15" t="s">
        <v>10</v>
      </c>
      <c r="P8" s="15">
        <f>P4</f>
        <v>2.9529999999999994</v>
      </c>
      <c r="Q8" s="15">
        <f>Q4</f>
        <v>73234.39999999998</v>
      </c>
      <c r="R8" s="15">
        <f>R4</f>
        <v>6939.5499999999984</v>
      </c>
    </row>
    <row r="12" spans="1:18" ht="45" x14ac:dyDescent="0.25">
      <c r="O12" s="14" t="s">
        <v>9</v>
      </c>
      <c r="P12" s="41">
        <f>Q8/P8</f>
        <v>24799.999999999996</v>
      </c>
    </row>
    <row r="14" spans="1:18" ht="45" x14ac:dyDescent="0.25">
      <c r="O14" s="13" t="s">
        <v>8</v>
      </c>
      <c r="P14" s="42">
        <f>R8/P8</f>
        <v>2350</v>
      </c>
    </row>
  </sheetData>
  <sheetProtection algorithmName="SHA-512" hashValue="3FmJGiwhr/goEeZ/V+i4uFsPiDSef3gZyr7MwUixDFLqwOfoCTmjNQk+riAr8i0pwQttfI+MFZJK93jV1vtHIQ==" saltValue="miVc7zuw1LjO475HiaqHOQ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1"/>
  <sheetViews>
    <sheetView workbookViewId="0">
      <selection activeCell="L26" sqref="A1:XFD1048576"/>
    </sheetView>
  </sheetViews>
  <sheetFormatPr defaultRowHeight="15" x14ac:dyDescent="0.25"/>
  <sheetData>
    <row r="1" spans="1:21" x14ac:dyDescent="0.25">
      <c r="A1" s="66">
        <v>2035</v>
      </c>
      <c r="B1" s="67"/>
      <c r="C1" s="67"/>
      <c r="D1" s="67"/>
      <c r="E1" s="67"/>
      <c r="F1" s="67"/>
      <c r="G1" s="67"/>
      <c r="H1" s="67"/>
      <c r="I1" s="68"/>
      <c r="M1" s="66">
        <v>2035</v>
      </c>
      <c r="N1" s="67"/>
      <c r="O1" s="67"/>
      <c r="P1" s="67"/>
      <c r="Q1" s="67"/>
      <c r="R1" s="67"/>
      <c r="S1" s="67"/>
      <c r="T1" s="67"/>
      <c r="U1" s="68"/>
    </row>
    <row r="2" spans="1:21" ht="19.5" thickBot="1" x14ac:dyDescent="0.35">
      <c r="A2" s="69" t="s">
        <v>67</v>
      </c>
      <c r="B2" s="70"/>
      <c r="C2" s="70"/>
      <c r="D2" s="70"/>
      <c r="E2" s="70"/>
      <c r="F2" s="70"/>
      <c r="G2" s="70"/>
      <c r="H2" s="70"/>
      <c r="I2" s="71"/>
      <c r="M2" s="69" t="s">
        <v>68</v>
      </c>
      <c r="N2" s="70"/>
      <c r="O2" s="70"/>
      <c r="P2" s="70"/>
      <c r="Q2" s="70"/>
      <c r="R2" s="70"/>
      <c r="S2" s="70"/>
      <c r="T2" s="70"/>
      <c r="U2" s="71"/>
    </row>
    <row r="3" spans="1:21" ht="30" x14ac:dyDescent="0.25">
      <c r="A3" s="33" t="s">
        <v>7</v>
      </c>
      <c r="B3" s="33" t="s">
        <v>42</v>
      </c>
      <c r="C3" s="72" t="s">
        <v>39</v>
      </c>
      <c r="D3" s="73"/>
      <c r="E3" s="33" t="s">
        <v>38</v>
      </c>
      <c r="F3" s="33" t="s">
        <v>37</v>
      </c>
      <c r="G3" s="33" t="s">
        <v>36</v>
      </c>
      <c r="H3" s="33" t="s">
        <v>41</v>
      </c>
      <c r="I3" s="33" t="s">
        <v>36</v>
      </c>
      <c r="M3" s="33" t="s">
        <v>7</v>
      </c>
      <c r="N3" s="33" t="s">
        <v>42</v>
      </c>
      <c r="O3" s="72" t="s">
        <v>39</v>
      </c>
      <c r="P3" s="73"/>
      <c r="Q3" s="33" t="s">
        <v>38</v>
      </c>
      <c r="R3" s="33" t="s">
        <v>37</v>
      </c>
      <c r="S3" s="33" t="s">
        <v>36</v>
      </c>
      <c r="T3" s="33" t="s">
        <v>41</v>
      </c>
      <c r="U3" s="33" t="s">
        <v>36</v>
      </c>
    </row>
    <row r="4" spans="1:21" ht="15.75" x14ac:dyDescent="0.25">
      <c r="A4" s="31"/>
      <c r="B4" s="31"/>
      <c r="C4" s="31" t="s">
        <v>7</v>
      </c>
      <c r="D4" s="32" t="s">
        <v>42</v>
      </c>
      <c r="E4" s="31"/>
      <c r="F4" s="74" t="s">
        <v>35</v>
      </c>
      <c r="G4" s="75"/>
      <c r="H4" s="76" t="s">
        <v>40</v>
      </c>
      <c r="I4" s="77"/>
      <c r="M4" s="31"/>
      <c r="N4" s="31"/>
      <c r="O4" s="31" t="s">
        <v>7</v>
      </c>
      <c r="P4" s="32" t="s">
        <v>42</v>
      </c>
      <c r="Q4" s="31"/>
      <c r="R4" s="74" t="s">
        <v>35</v>
      </c>
      <c r="S4" s="75"/>
      <c r="T4" s="76" t="s">
        <v>40</v>
      </c>
      <c r="U4" s="77"/>
    </row>
    <row r="5" spans="1:21" x14ac:dyDescent="0.25">
      <c r="A5">
        <v>27889</v>
      </c>
      <c r="B5">
        <v>2095</v>
      </c>
      <c r="C5" s="30"/>
      <c r="D5" s="30"/>
      <c r="E5">
        <v>0.23</v>
      </c>
      <c r="F5">
        <v>27889</v>
      </c>
      <c r="G5">
        <f t="shared" ref="G5:G19" si="0">F5*E5</f>
        <v>6414.47</v>
      </c>
      <c r="H5">
        <v>2095</v>
      </c>
      <c r="I5">
        <f t="shared" ref="I5:I19" si="1">H5*E5</f>
        <v>481.85</v>
      </c>
      <c r="M5">
        <v>37521</v>
      </c>
      <c r="N5">
        <v>2996</v>
      </c>
      <c r="O5" s="30"/>
      <c r="P5" s="30"/>
      <c r="Q5">
        <v>0.23</v>
      </c>
      <c r="R5">
        <f>M5</f>
        <v>37521</v>
      </c>
      <c r="S5" s="38">
        <f t="shared" ref="S5:S19" si="2">R5*Q5</f>
        <v>8629.83</v>
      </c>
      <c r="T5">
        <f>N5</f>
        <v>2996</v>
      </c>
      <c r="U5" s="38">
        <f t="shared" ref="U5:U19" si="3">T5*Q5</f>
        <v>689.08</v>
      </c>
    </row>
    <row r="6" spans="1:21" x14ac:dyDescent="0.25">
      <c r="A6">
        <v>27889</v>
      </c>
      <c r="B6">
        <v>2095</v>
      </c>
      <c r="C6" s="30"/>
      <c r="D6" s="30"/>
      <c r="E6">
        <v>0.15</v>
      </c>
      <c r="F6">
        <v>27889</v>
      </c>
      <c r="G6">
        <f t="shared" si="0"/>
        <v>4183.3499999999995</v>
      </c>
      <c r="H6">
        <v>2095</v>
      </c>
      <c r="I6">
        <f t="shared" si="1"/>
        <v>314.25</v>
      </c>
      <c r="M6">
        <v>37521</v>
      </c>
      <c r="N6">
        <v>2996</v>
      </c>
      <c r="O6" s="30"/>
      <c r="P6" s="30"/>
      <c r="Q6">
        <v>0.15</v>
      </c>
      <c r="R6">
        <f t="shared" ref="R6:R19" si="4">M6</f>
        <v>37521</v>
      </c>
      <c r="S6" s="38">
        <f t="shared" si="2"/>
        <v>5628.15</v>
      </c>
      <c r="T6">
        <f t="shared" ref="T6:T19" si="5">N6</f>
        <v>2996</v>
      </c>
      <c r="U6" s="38">
        <f t="shared" si="3"/>
        <v>449.4</v>
      </c>
    </row>
    <row r="7" spans="1:21" x14ac:dyDescent="0.25">
      <c r="A7">
        <v>27889</v>
      </c>
      <c r="B7">
        <v>2095</v>
      </c>
      <c r="C7" s="30"/>
      <c r="D7" s="30"/>
      <c r="E7">
        <v>0.24</v>
      </c>
      <c r="F7">
        <v>27889</v>
      </c>
      <c r="G7">
        <f t="shared" si="0"/>
        <v>6693.36</v>
      </c>
      <c r="H7">
        <v>2095</v>
      </c>
      <c r="I7">
        <f t="shared" si="1"/>
        <v>502.79999999999995</v>
      </c>
      <c r="M7">
        <v>37521</v>
      </c>
      <c r="N7">
        <v>2996</v>
      </c>
      <c r="O7" s="30"/>
      <c r="P7" s="30"/>
      <c r="Q7">
        <v>0.24</v>
      </c>
      <c r="R7">
        <f t="shared" si="4"/>
        <v>37521</v>
      </c>
      <c r="S7" s="38">
        <f t="shared" si="2"/>
        <v>9005.0399999999991</v>
      </c>
      <c r="T7">
        <f t="shared" si="5"/>
        <v>2996</v>
      </c>
      <c r="U7" s="38">
        <f t="shared" si="3"/>
        <v>719.04</v>
      </c>
    </row>
    <row r="8" spans="1:21" x14ac:dyDescent="0.25">
      <c r="A8">
        <v>27889</v>
      </c>
      <c r="B8">
        <v>2095</v>
      </c>
      <c r="C8" s="30"/>
      <c r="D8" s="30"/>
      <c r="E8">
        <v>0.1</v>
      </c>
      <c r="F8">
        <v>27889</v>
      </c>
      <c r="G8">
        <f t="shared" si="0"/>
        <v>2788.9</v>
      </c>
      <c r="H8">
        <v>2095</v>
      </c>
      <c r="I8">
        <f t="shared" si="1"/>
        <v>209.5</v>
      </c>
      <c r="M8">
        <v>37521</v>
      </c>
      <c r="N8">
        <v>2996</v>
      </c>
      <c r="O8" s="30"/>
      <c r="P8" s="30"/>
      <c r="Q8">
        <v>0.1</v>
      </c>
      <c r="R8">
        <f t="shared" si="4"/>
        <v>37521</v>
      </c>
      <c r="S8" s="38">
        <f t="shared" si="2"/>
        <v>3752.1000000000004</v>
      </c>
      <c r="T8">
        <f t="shared" si="5"/>
        <v>2996</v>
      </c>
      <c r="U8" s="38">
        <f t="shared" si="3"/>
        <v>299.60000000000002</v>
      </c>
    </row>
    <row r="9" spans="1:21" x14ac:dyDescent="0.25">
      <c r="A9">
        <v>27889</v>
      </c>
      <c r="B9">
        <v>2095</v>
      </c>
      <c r="C9" s="30"/>
      <c r="D9" s="30"/>
      <c r="E9">
        <v>7.0000000000000007E-2</v>
      </c>
      <c r="F9">
        <v>27889</v>
      </c>
      <c r="G9">
        <f t="shared" si="0"/>
        <v>1952.2300000000002</v>
      </c>
      <c r="H9">
        <v>2095</v>
      </c>
      <c r="I9">
        <f t="shared" si="1"/>
        <v>146.65</v>
      </c>
      <c r="M9">
        <v>37521</v>
      </c>
      <c r="N9">
        <v>2996</v>
      </c>
      <c r="O9" s="30"/>
      <c r="P9" s="30"/>
      <c r="Q9">
        <v>7.0000000000000007E-2</v>
      </c>
      <c r="R9">
        <f t="shared" si="4"/>
        <v>37521</v>
      </c>
      <c r="S9" s="38">
        <f t="shared" si="2"/>
        <v>2626.4700000000003</v>
      </c>
      <c r="T9">
        <f t="shared" si="5"/>
        <v>2996</v>
      </c>
      <c r="U9" s="38">
        <f t="shared" si="3"/>
        <v>209.72000000000003</v>
      </c>
    </row>
    <row r="10" spans="1:21" x14ac:dyDescent="0.25">
      <c r="A10">
        <v>27889</v>
      </c>
      <c r="B10">
        <v>2095</v>
      </c>
      <c r="C10" s="30"/>
      <c r="D10" s="30"/>
      <c r="E10">
        <v>0.2</v>
      </c>
      <c r="F10">
        <v>27889</v>
      </c>
      <c r="G10">
        <f t="shared" si="0"/>
        <v>5577.8</v>
      </c>
      <c r="H10">
        <v>2095</v>
      </c>
      <c r="I10">
        <f t="shared" si="1"/>
        <v>419</v>
      </c>
      <c r="M10">
        <v>37521</v>
      </c>
      <c r="N10">
        <v>2996</v>
      </c>
      <c r="O10" s="30"/>
      <c r="P10" s="30"/>
      <c r="Q10">
        <v>0.2</v>
      </c>
      <c r="R10">
        <f t="shared" si="4"/>
        <v>37521</v>
      </c>
      <c r="S10" s="38">
        <f t="shared" si="2"/>
        <v>7504.2000000000007</v>
      </c>
      <c r="T10">
        <f t="shared" si="5"/>
        <v>2996</v>
      </c>
      <c r="U10" s="38">
        <f t="shared" si="3"/>
        <v>599.20000000000005</v>
      </c>
    </row>
    <row r="11" spans="1:21" x14ac:dyDescent="0.25">
      <c r="A11">
        <v>28976</v>
      </c>
      <c r="B11">
        <v>2152</v>
      </c>
      <c r="C11" s="30"/>
      <c r="D11" s="30"/>
      <c r="E11">
        <v>0.11</v>
      </c>
      <c r="F11">
        <v>28976</v>
      </c>
      <c r="G11">
        <f t="shared" si="0"/>
        <v>3187.36</v>
      </c>
      <c r="H11">
        <v>2152</v>
      </c>
      <c r="I11">
        <f t="shared" si="1"/>
        <v>236.72</v>
      </c>
      <c r="M11">
        <v>37911</v>
      </c>
      <c r="N11">
        <v>3023</v>
      </c>
      <c r="O11" s="30"/>
      <c r="P11" s="30"/>
      <c r="Q11">
        <v>0.11</v>
      </c>
      <c r="R11">
        <f t="shared" si="4"/>
        <v>37911</v>
      </c>
      <c r="S11" s="38">
        <f t="shared" si="2"/>
        <v>4170.21</v>
      </c>
      <c r="T11">
        <f t="shared" si="5"/>
        <v>3023</v>
      </c>
      <c r="U11" s="38">
        <f t="shared" si="3"/>
        <v>332.53000000000003</v>
      </c>
    </row>
    <row r="12" spans="1:21" x14ac:dyDescent="0.25">
      <c r="A12">
        <v>29279</v>
      </c>
      <c r="B12">
        <v>2188</v>
      </c>
      <c r="C12" s="30"/>
      <c r="D12" s="30"/>
      <c r="E12">
        <v>0.01</v>
      </c>
      <c r="F12">
        <v>29279</v>
      </c>
      <c r="G12">
        <f t="shared" si="0"/>
        <v>292.79000000000002</v>
      </c>
      <c r="H12">
        <v>2188</v>
      </c>
      <c r="I12">
        <f t="shared" si="1"/>
        <v>21.88</v>
      </c>
      <c r="M12">
        <v>38609</v>
      </c>
      <c r="N12">
        <v>3095</v>
      </c>
      <c r="O12" s="30"/>
      <c r="P12" s="30"/>
      <c r="Q12">
        <v>0.01</v>
      </c>
      <c r="R12">
        <f t="shared" si="4"/>
        <v>38609</v>
      </c>
      <c r="S12" s="38">
        <f t="shared" si="2"/>
        <v>386.09000000000003</v>
      </c>
      <c r="T12">
        <f t="shared" si="5"/>
        <v>3095</v>
      </c>
      <c r="U12" s="38">
        <f t="shared" si="3"/>
        <v>30.95</v>
      </c>
    </row>
    <row r="13" spans="1:21" x14ac:dyDescent="0.25">
      <c r="A13">
        <v>29486</v>
      </c>
      <c r="B13">
        <v>2201</v>
      </c>
      <c r="C13" s="30"/>
      <c r="D13" s="30"/>
      <c r="E13">
        <v>0.11</v>
      </c>
      <c r="F13">
        <v>29486</v>
      </c>
      <c r="G13">
        <f t="shared" si="0"/>
        <v>3243.46</v>
      </c>
      <c r="H13">
        <v>2201</v>
      </c>
      <c r="I13">
        <f t="shared" si="1"/>
        <v>242.11</v>
      </c>
      <c r="M13">
        <v>38609</v>
      </c>
      <c r="N13">
        <v>3095</v>
      </c>
      <c r="O13" s="30"/>
      <c r="P13" s="30"/>
      <c r="Q13">
        <v>0.11</v>
      </c>
      <c r="R13">
        <f t="shared" si="4"/>
        <v>38609</v>
      </c>
      <c r="S13" s="38">
        <f t="shared" si="2"/>
        <v>4246.99</v>
      </c>
      <c r="T13">
        <f t="shared" si="5"/>
        <v>3095</v>
      </c>
      <c r="U13" s="38">
        <f t="shared" si="3"/>
        <v>340.45</v>
      </c>
    </row>
    <row r="14" spans="1:21" x14ac:dyDescent="0.25">
      <c r="A14">
        <v>29486</v>
      </c>
      <c r="B14">
        <v>2201</v>
      </c>
      <c r="C14" s="30"/>
      <c r="D14" s="30"/>
      <c r="E14">
        <v>0.47</v>
      </c>
      <c r="F14">
        <v>29486</v>
      </c>
      <c r="G14">
        <f t="shared" si="0"/>
        <v>13858.42</v>
      </c>
      <c r="H14">
        <v>2201</v>
      </c>
      <c r="I14">
        <f t="shared" si="1"/>
        <v>1034.47</v>
      </c>
      <c r="M14">
        <v>38609</v>
      </c>
      <c r="N14">
        <v>3095</v>
      </c>
      <c r="O14" s="30"/>
      <c r="P14" s="30"/>
      <c r="Q14">
        <v>0.47</v>
      </c>
      <c r="R14">
        <f t="shared" si="4"/>
        <v>38609</v>
      </c>
      <c r="S14" s="38">
        <f t="shared" si="2"/>
        <v>18146.23</v>
      </c>
      <c r="T14">
        <f t="shared" si="5"/>
        <v>3095</v>
      </c>
      <c r="U14" s="38">
        <f t="shared" si="3"/>
        <v>1454.6499999999999</v>
      </c>
    </row>
    <row r="15" spans="1:21" x14ac:dyDescent="0.25">
      <c r="A15">
        <v>29486</v>
      </c>
      <c r="B15">
        <v>2201</v>
      </c>
      <c r="C15" s="30"/>
      <c r="D15" s="30"/>
      <c r="E15">
        <v>7.0000000000000007E-2</v>
      </c>
      <c r="F15">
        <v>29486</v>
      </c>
      <c r="G15">
        <f t="shared" si="0"/>
        <v>2064.02</v>
      </c>
      <c r="H15">
        <v>2201</v>
      </c>
      <c r="I15">
        <f t="shared" si="1"/>
        <v>154.07000000000002</v>
      </c>
      <c r="M15">
        <v>38609</v>
      </c>
      <c r="N15">
        <v>3095</v>
      </c>
      <c r="O15" s="30"/>
      <c r="P15" s="30"/>
      <c r="Q15">
        <v>7.0000000000000007E-2</v>
      </c>
      <c r="R15">
        <f t="shared" si="4"/>
        <v>38609</v>
      </c>
      <c r="S15" s="38">
        <f t="shared" si="2"/>
        <v>2702.63</v>
      </c>
      <c r="T15">
        <f t="shared" si="5"/>
        <v>3095</v>
      </c>
      <c r="U15" s="38">
        <f t="shared" si="3"/>
        <v>216.65000000000003</v>
      </c>
    </row>
    <row r="16" spans="1:21" x14ac:dyDescent="0.25">
      <c r="A16">
        <v>29716</v>
      </c>
      <c r="B16">
        <v>2216</v>
      </c>
      <c r="C16" s="30"/>
      <c r="D16" s="30"/>
      <c r="E16">
        <v>0.08</v>
      </c>
      <c r="F16">
        <v>29716</v>
      </c>
      <c r="G16">
        <f t="shared" si="0"/>
        <v>2377.2800000000002</v>
      </c>
      <c r="H16">
        <v>2216</v>
      </c>
      <c r="I16">
        <f t="shared" si="1"/>
        <v>177.28</v>
      </c>
      <c r="M16">
        <v>38609</v>
      </c>
      <c r="N16">
        <v>3095</v>
      </c>
      <c r="O16" s="30"/>
      <c r="P16" s="30"/>
      <c r="Q16">
        <v>0.08</v>
      </c>
      <c r="R16">
        <f t="shared" si="4"/>
        <v>38609</v>
      </c>
      <c r="S16" s="38">
        <f t="shared" si="2"/>
        <v>3088.7200000000003</v>
      </c>
      <c r="T16">
        <f t="shared" si="5"/>
        <v>3095</v>
      </c>
      <c r="U16" s="38">
        <f t="shared" si="3"/>
        <v>247.6</v>
      </c>
    </row>
    <row r="17" spans="1:21" x14ac:dyDescent="0.25">
      <c r="A17">
        <v>30565</v>
      </c>
      <c r="B17">
        <v>2289</v>
      </c>
      <c r="C17" s="30"/>
      <c r="D17" s="30"/>
      <c r="E17">
        <v>0.17</v>
      </c>
      <c r="F17">
        <v>30565</v>
      </c>
      <c r="G17">
        <f t="shared" si="0"/>
        <v>5196.05</v>
      </c>
      <c r="H17">
        <v>2289</v>
      </c>
      <c r="I17">
        <f t="shared" si="1"/>
        <v>389.13000000000005</v>
      </c>
      <c r="M17">
        <v>38609</v>
      </c>
      <c r="N17">
        <v>3095</v>
      </c>
      <c r="O17" s="30"/>
      <c r="P17" s="30"/>
      <c r="Q17">
        <v>0.17</v>
      </c>
      <c r="R17">
        <f t="shared" si="4"/>
        <v>38609</v>
      </c>
      <c r="S17" s="38">
        <f t="shared" si="2"/>
        <v>6563.5300000000007</v>
      </c>
      <c r="T17">
        <f t="shared" si="5"/>
        <v>3095</v>
      </c>
      <c r="U17" s="38">
        <f t="shared" si="3"/>
        <v>526.15000000000009</v>
      </c>
    </row>
    <row r="18" spans="1:21" x14ac:dyDescent="0.25">
      <c r="A18">
        <v>30565</v>
      </c>
      <c r="B18">
        <v>2289</v>
      </c>
      <c r="C18" s="30"/>
      <c r="D18" s="30"/>
      <c r="E18">
        <v>0.02</v>
      </c>
      <c r="F18">
        <v>30565</v>
      </c>
      <c r="G18">
        <f t="shared" si="0"/>
        <v>611.30000000000007</v>
      </c>
      <c r="H18">
        <v>2289</v>
      </c>
      <c r="I18">
        <f t="shared" si="1"/>
        <v>45.78</v>
      </c>
      <c r="M18">
        <v>43992</v>
      </c>
      <c r="N18">
        <v>3559</v>
      </c>
      <c r="O18" s="30"/>
      <c r="P18" s="30"/>
      <c r="Q18">
        <v>0.02</v>
      </c>
      <c r="R18">
        <f t="shared" si="4"/>
        <v>43992</v>
      </c>
      <c r="S18" s="38">
        <f t="shared" si="2"/>
        <v>879.84</v>
      </c>
      <c r="T18">
        <f t="shared" si="5"/>
        <v>3559</v>
      </c>
      <c r="U18" s="38">
        <f t="shared" si="3"/>
        <v>71.180000000000007</v>
      </c>
    </row>
    <row r="19" spans="1:21" x14ac:dyDescent="0.25">
      <c r="A19">
        <v>31191</v>
      </c>
      <c r="B19">
        <v>2347</v>
      </c>
      <c r="C19" s="30"/>
      <c r="D19" s="30"/>
      <c r="E19">
        <v>0.27</v>
      </c>
      <c r="F19">
        <v>31191</v>
      </c>
      <c r="G19">
        <f t="shared" si="0"/>
        <v>8421.57</v>
      </c>
      <c r="H19">
        <v>2347</v>
      </c>
      <c r="I19">
        <f t="shared" si="1"/>
        <v>633.69000000000005</v>
      </c>
      <c r="M19">
        <v>43992</v>
      </c>
      <c r="N19">
        <v>3559</v>
      </c>
      <c r="O19" s="30"/>
      <c r="P19" s="30"/>
      <c r="Q19">
        <v>0.27</v>
      </c>
      <c r="R19">
        <f t="shared" si="4"/>
        <v>43992</v>
      </c>
      <c r="S19" s="38">
        <f t="shared" si="2"/>
        <v>11877.84</v>
      </c>
      <c r="T19">
        <f t="shared" si="5"/>
        <v>3559</v>
      </c>
      <c r="U19" s="38">
        <f t="shared" si="3"/>
        <v>960.93000000000006</v>
      </c>
    </row>
    <row r="21" spans="1:21" x14ac:dyDescent="0.25">
      <c r="E21">
        <f>SUM(E5:E19)</f>
        <v>2.3000000000000003</v>
      </c>
      <c r="G21" s="29">
        <f>SUM(G5:G19)</f>
        <v>66862.36</v>
      </c>
      <c r="I21" s="28">
        <f>SUM(I5:I19)</f>
        <v>5009.18</v>
      </c>
      <c r="Q21">
        <f>SUM(Q5:Q19)</f>
        <v>2.3000000000000003</v>
      </c>
      <c r="S21" s="40">
        <f>SUM(S5:S19)</f>
        <v>89207.869999999981</v>
      </c>
      <c r="U21" s="39">
        <f>SUM(U5:U19)</f>
        <v>7147.130000000001</v>
      </c>
    </row>
    <row r="24" spans="1:21" ht="11.25" customHeight="1" x14ac:dyDescent="0.25">
      <c r="T24" s="52"/>
    </row>
    <row r="25" spans="1:21" ht="57.75" customHeight="1" x14ac:dyDescent="0.25">
      <c r="F25" s="27" t="s">
        <v>34</v>
      </c>
      <c r="G25" s="41">
        <f>G21/E21</f>
        <v>29070.591304347821</v>
      </c>
      <c r="Q25" s="14" t="s">
        <v>34</v>
      </c>
      <c r="R25" s="41">
        <f>S21/Q21</f>
        <v>38786.030434782595</v>
      </c>
      <c r="T25" s="51"/>
    </row>
    <row r="27" spans="1:21" ht="69.75" customHeight="1" x14ac:dyDescent="0.25">
      <c r="F27" s="26" t="s">
        <v>33</v>
      </c>
      <c r="G27" s="42">
        <f>I21/E21</f>
        <v>2177.9043478260869</v>
      </c>
      <c r="Q27" s="26" t="s">
        <v>33</v>
      </c>
      <c r="R27" s="42">
        <f>U21/Q21</f>
        <v>3107.4478260869564</v>
      </c>
      <c r="T27" s="51"/>
    </row>
    <row r="30" spans="1:21" x14ac:dyDescent="0.25">
      <c r="A30" t="s">
        <v>46</v>
      </c>
    </row>
    <row r="31" spans="1:21" x14ac:dyDescent="0.25">
      <c r="A31" t="s">
        <v>45</v>
      </c>
    </row>
  </sheetData>
  <sheetProtection algorithmName="SHA-512" hashValue="7K3zDV8n4z4snNjUv+GFRQuAtdh4eNFNEyUCA4laNu6iIpQGEbFeFj6ucsMGTSRxpC5mpmf3K+1RkxMpmIC4kQ==" saltValue="cky8FMsO82Lk/oU9FQ95uQ==" spinCount="100000" sheet="1" objects="1" scenarios="1"/>
  <mergeCells count="10">
    <mergeCell ref="A1:I1"/>
    <mergeCell ref="M1:U1"/>
    <mergeCell ref="A2:I2"/>
    <mergeCell ref="C3:D3"/>
    <mergeCell ref="F4:G4"/>
    <mergeCell ref="H4:I4"/>
    <mergeCell ref="M2:U2"/>
    <mergeCell ref="O3:P3"/>
    <mergeCell ref="R4:S4"/>
    <mergeCell ref="T4:U4"/>
  </mergeCells>
  <printOptions horizontalCentered="1" gridLines="1"/>
  <pageMargins left="0.45" right="0.45" top="0.75" bottom="0.75" header="0.3" footer="0.3"/>
  <pageSetup scale="13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tabSelected="1" workbookViewId="0">
      <selection activeCell="J25" sqref="A1:XFD1048576"/>
    </sheetView>
  </sheetViews>
  <sheetFormatPr defaultRowHeight="15" x14ac:dyDescent="0.25"/>
  <sheetData>
    <row r="2" spans="1:18" ht="19.5" thickBot="1" x14ac:dyDescent="0.35">
      <c r="A2" s="69" t="s">
        <v>69</v>
      </c>
      <c r="B2" s="70"/>
      <c r="C2" s="70"/>
      <c r="D2" s="70"/>
      <c r="E2" s="70"/>
      <c r="F2" s="70"/>
      <c r="G2" s="70"/>
      <c r="H2" s="70"/>
      <c r="I2" s="71"/>
      <c r="L2" s="69" t="s">
        <v>70</v>
      </c>
      <c r="M2" s="70"/>
      <c r="N2" s="70"/>
      <c r="O2" s="70"/>
      <c r="P2" s="70"/>
      <c r="Q2" s="70"/>
      <c r="R2" s="71"/>
    </row>
    <row r="3" spans="1:18" ht="30" x14ac:dyDescent="0.25">
      <c r="A3" s="33" t="s">
        <v>7</v>
      </c>
      <c r="B3" s="33" t="s">
        <v>42</v>
      </c>
      <c r="C3" s="72" t="s">
        <v>39</v>
      </c>
      <c r="D3" s="73"/>
      <c r="E3" s="33" t="s">
        <v>38</v>
      </c>
      <c r="F3" s="33" t="s">
        <v>37</v>
      </c>
      <c r="G3" s="33" t="s">
        <v>36</v>
      </c>
      <c r="H3" s="33" t="s">
        <v>41</v>
      </c>
      <c r="I3" s="33" t="s">
        <v>36</v>
      </c>
      <c r="L3" s="33" t="s">
        <v>7</v>
      </c>
      <c r="M3" s="33" t="s">
        <v>42</v>
      </c>
      <c r="N3" s="33" t="s">
        <v>38</v>
      </c>
      <c r="O3" s="33" t="s">
        <v>37</v>
      </c>
      <c r="P3" s="33" t="s">
        <v>36</v>
      </c>
      <c r="Q3" s="33" t="s">
        <v>41</v>
      </c>
      <c r="R3" s="33" t="s">
        <v>36</v>
      </c>
    </row>
    <row r="4" spans="1:18" ht="15.75" x14ac:dyDescent="0.25">
      <c r="A4" s="31"/>
      <c r="B4" s="31"/>
      <c r="C4" s="31" t="s">
        <v>7</v>
      </c>
      <c r="D4" s="32" t="s">
        <v>42</v>
      </c>
      <c r="E4" s="31"/>
      <c r="F4" s="74" t="s">
        <v>35</v>
      </c>
      <c r="G4" s="75"/>
      <c r="H4" s="76" t="s">
        <v>40</v>
      </c>
      <c r="I4" s="77"/>
      <c r="L4" s="31"/>
      <c r="M4" s="31"/>
      <c r="N4" s="31"/>
      <c r="O4" s="74" t="s">
        <v>35</v>
      </c>
      <c r="P4" s="75"/>
      <c r="Q4" s="76" t="s">
        <v>40</v>
      </c>
      <c r="R4" s="77"/>
    </row>
    <row r="5" spans="1:18" x14ac:dyDescent="0.25">
      <c r="A5">
        <v>27666</v>
      </c>
      <c r="B5">
        <v>2065</v>
      </c>
      <c r="C5" s="30"/>
      <c r="D5" s="30"/>
      <c r="E5">
        <v>0.23</v>
      </c>
      <c r="F5">
        <v>27666</v>
      </c>
      <c r="G5">
        <f t="shared" ref="G5:G19" si="0">F5*E5</f>
        <v>6363.18</v>
      </c>
      <c r="H5">
        <v>2065</v>
      </c>
      <c r="I5">
        <f t="shared" ref="I5:I19" si="1">H5*E5</f>
        <v>474.95000000000005</v>
      </c>
      <c r="L5">
        <v>24600</v>
      </c>
      <c r="M5">
        <v>2250</v>
      </c>
      <c r="N5">
        <v>0.23</v>
      </c>
      <c r="O5">
        <f>L5</f>
        <v>24600</v>
      </c>
      <c r="P5">
        <f t="shared" ref="P5:P19" si="2">O5*N5</f>
        <v>5658</v>
      </c>
      <c r="Q5">
        <f>M5</f>
        <v>2250</v>
      </c>
      <c r="R5">
        <f t="shared" ref="R5:R19" si="3">Q5*N5</f>
        <v>517.5</v>
      </c>
    </row>
    <row r="6" spans="1:18" x14ac:dyDescent="0.25">
      <c r="A6">
        <v>27666</v>
      </c>
      <c r="B6">
        <v>2065</v>
      </c>
      <c r="C6" s="30"/>
      <c r="D6" s="30"/>
      <c r="E6">
        <v>0.15</v>
      </c>
      <c r="F6">
        <v>27666</v>
      </c>
      <c r="G6">
        <f t="shared" si="0"/>
        <v>4149.8999999999996</v>
      </c>
      <c r="H6">
        <v>2065</v>
      </c>
      <c r="I6">
        <f t="shared" si="1"/>
        <v>309.75</v>
      </c>
      <c r="L6">
        <v>24600</v>
      </c>
      <c r="M6">
        <v>2250</v>
      </c>
      <c r="N6">
        <v>0.15</v>
      </c>
      <c r="O6">
        <f t="shared" ref="O6:O19" si="4">L6</f>
        <v>24600</v>
      </c>
      <c r="P6">
        <f t="shared" si="2"/>
        <v>3690</v>
      </c>
      <c r="Q6">
        <f t="shared" ref="Q6:Q19" si="5">M6</f>
        <v>2250</v>
      </c>
      <c r="R6">
        <f t="shared" si="3"/>
        <v>337.5</v>
      </c>
    </row>
    <row r="7" spans="1:18" x14ac:dyDescent="0.25">
      <c r="A7">
        <v>27666</v>
      </c>
      <c r="B7">
        <v>2065</v>
      </c>
      <c r="C7" s="30"/>
      <c r="D7" s="30"/>
      <c r="E7">
        <v>0.24</v>
      </c>
      <c r="F7">
        <v>27666</v>
      </c>
      <c r="G7">
        <f t="shared" si="0"/>
        <v>6639.84</v>
      </c>
      <c r="H7">
        <v>2065</v>
      </c>
      <c r="I7">
        <f t="shared" si="1"/>
        <v>495.59999999999997</v>
      </c>
      <c r="L7">
        <v>24600</v>
      </c>
      <c r="M7">
        <v>2250</v>
      </c>
      <c r="N7">
        <v>0.24</v>
      </c>
      <c r="O7">
        <f t="shared" si="4"/>
        <v>24600</v>
      </c>
      <c r="P7">
        <f t="shared" si="2"/>
        <v>5904</v>
      </c>
      <c r="Q7">
        <f t="shared" si="5"/>
        <v>2250</v>
      </c>
      <c r="R7">
        <f t="shared" si="3"/>
        <v>540</v>
      </c>
    </row>
    <row r="8" spans="1:18" x14ac:dyDescent="0.25">
      <c r="A8">
        <v>27666</v>
      </c>
      <c r="B8">
        <v>2065</v>
      </c>
      <c r="C8" s="30"/>
      <c r="D8" s="30"/>
      <c r="E8">
        <v>0.1</v>
      </c>
      <c r="F8">
        <v>27666</v>
      </c>
      <c r="G8">
        <f t="shared" si="0"/>
        <v>2766.6000000000004</v>
      </c>
      <c r="H8">
        <v>2065</v>
      </c>
      <c r="I8">
        <f t="shared" si="1"/>
        <v>206.5</v>
      </c>
      <c r="L8">
        <v>24600</v>
      </c>
      <c r="M8">
        <v>2250</v>
      </c>
      <c r="N8">
        <v>0.1</v>
      </c>
      <c r="O8">
        <f t="shared" si="4"/>
        <v>24600</v>
      </c>
      <c r="P8">
        <f t="shared" si="2"/>
        <v>2460</v>
      </c>
      <c r="Q8">
        <f t="shared" si="5"/>
        <v>2250</v>
      </c>
      <c r="R8">
        <f t="shared" si="3"/>
        <v>225</v>
      </c>
    </row>
    <row r="9" spans="1:18" x14ac:dyDescent="0.25">
      <c r="A9">
        <v>27666</v>
      </c>
      <c r="B9">
        <v>2065</v>
      </c>
      <c r="C9" s="30"/>
      <c r="D9" s="30"/>
      <c r="E9">
        <v>7.0000000000000007E-2</v>
      </c>
      <c r="F9">
        <v>27666</v>
      </c>
      <c r="G9">
        <f t="shared" si="0"/>
        <v>1936.6200000000001</v>
      </c>
      <c r="H9">
        <v>2065</v>
      </c>
      <c r="I9">
        <f t="shared" si="1"/>
        <v>144.55000000000001</v>
      </c>
      <c r="L9">
        <v>24600</v>
      </c>
      <c r="M9">
        <v>2250</v>
      </c>
      <c r="N9">
        <v>7.0000000000000007E-2</v>
      </c>
      <c r="O9">
        <f t="shared" si="4"/>
        <v>24600</v>
      </c>
      <c r="P9">
        <f t="shared" si="2"/>
        <v>1722.0000000000002</v>
      </c>
      <c r="Q9">
        <f t="shared" si="5"/>
        <v>2250</v>
      </c>
      <c r="R9">
        <f t="shared" si="3"/>
        <v>157.50000000000003</v>
      </c>
    </row>
    <row r="10" spans="1:18" x14ac:dyDescent="0.25">
      <c r="A10">
        <v>27666</v>
      </c>
      <c r="B10">
        <v>2065</v>
      </c>
      <c r="C10" s="30"/>
      <c r="D10" s="30"/>
      <c r="E10">
        <v>0.2</v>
      </c>
      <c r="F10">
        <v>27666</v>
      </c>
      <c r="G10">
        <f t="shared" si="0"/>
        <v>5533.2000000000007</v>
      </c>
      <c r="H10">
        <v>2065</v>
      </c>
      <c r="I10">
        <f t="shared" si="1"/>
        <v>413</v>
      </c>
      <c r="L10">
        <v>24600</v>
      </c>
      <c r="M10">
        <v>2250</v>
      </c>
      <c r="N10">
        <v>0.2</v>
      </c>
      <c r="O10">
        <f t="shared" si="4"/>
        <v>24600</v>
      </c>
      <c r="P10">
        <f t="shared" si="2"/>
        <v>4920</v>
      </c>
      <c r="Q10">
        <f t="shared" si="5"/>
        <v>2250</v>
      </c>
      <c r="R10">
        <f t="shared" si="3"/>
        <v>450</v>
      </c>
    </row>
    <row r="11" spans="1:18" x14ac:dyDescent="0.25">
      <c r="A11">
        <v>27878</v>
      </c>
      <c r="B11">
        <v>2076</v>
      </c>
      <c r="C11" s="30"/>
      <c r="D11" s="30"/>
      <c r="E11">
        <v>0.11</v>
      </c>
      <c r="F11">
        <v>27878</v>
      </c>
      <c r="G11">
        <f t="shared" si="0"/>
        <v>3066.58</v>
      </c>
      <c r="H11">
        <v>2076</v>
      </c>
      <c r="I11">
        <f t="shared" si="1"/>
        <v>228.36</v>
      </c>
      <c r="L11">
        <v>24600</v>
      </c>
      <c r="M11">
        <v>2250</v>
      </c>
      <c r="N11">
        <v>0.11</v>
      </c>
      <c r="O11">
        <f t="shared" si="4"/>
        <v>24600</v>
      </c>
      <c r="P11">
        <f t="shared" si="2"/>
        <v>2706</v>
      </c>
      <c r="Q11">
        <f t="shared" si="5"/>
        <v>2250</v>
      </c>
      <c r="R11">
        <f t="shared" si="3"/>
        <v>247.5</v>
      </c>
    </row>
    <row r="12" spans="1:18" x14ac:dyDescent="0.25">
      <c r="A12">
        <v>27895</v>
      </c>
      <c r="B12">
        <v>2077</v>
      </c>
      <c r="C12" s="30"/>
      <c r="D12" s="30"/>
      <c r="E12">
        <v>0.01</v>
      </c>
      <c r="F12">
        <v>27895</v>
      </c>
      <c r="G12">
        <f t="shared" si="0"/>
        <v>278.95</v>
      </c>
      <c r="H12">
        <v>2077</v>
      </c>
      <c r="I12">
        <f t="shared" si="1"/>
        <v>20.77</v>
      </c>
      <c r="L12">
        <v>24600</v>
      </c>
      <c r="M12">
        <v>2250</v>
      </c>
      <c r="N12">
        <v>0.01</v>
      </c>
      <c r="O12">
        <f t="shared" si="4"/>
        <v>24600</v>
      </c>
      <c r="P12">
        <f t="shared" si="2"/>
        <v>246</v>
      </c>
      <c r="Q12">
        <f t="shared" si="5"/>
        <v>2250</v>
      </c>
      <c r="R12">
        <f t="shared" si="3"/>
        <v>22.5</v>
      </c>
    </row>
    <row r="13" spans="1:18" x14ac:dyDescent="0.25">
      <c r="A13">
        <v>28223</v>
      </c>
      <c r="B13">
        <v>2099</v>
      </c>
      <c r="C13" s="30"/>
      <c r="D13" s="30"/>
      <c r="E13">
        <v>0.11</v>
      </c>
      <c r="F13">
        <v>28223</v>
      </c>
      <c r="G13">
        <f t="shared" si="0"/>
        <v>3104.53</v>
      </c>
      <c r="H13">
        <v>2099</v>
      </c>
      <c r="I13">
        <f t="shared" si="1"/>
        <v>230.89000000000001</v>
      </c>
      <c r="L13">
        <v>24600</v>
      </c>
      <c r="M13">
        <v>2250</v>
      </c>
      <c r="N13">
        <v>0.11</v>
      </c>
      <c r="O13">
        <f t="shared" si="4"/>
        <v>24600</v>
      </c>
      <c r="P13">
        <f t="shared" si="2"/>
        <v>2706</v>
      </c>
      <c r="Q13">
        <f t="shared" si="5"/>
        <v>2250</v>
      </c>
      <c r="R13">
        <f t="shared" si="3"/>
        <v>247.5</v>
      </c>
    </row>
    <row r="14" spans="1:18" x14ac:dyDescent="0.25">
      <c r="A14">
        <v>28223</v>
      </c>
      <c r="B14">
        <v>2099</v>
      </c>
      <c r="C14" s="30"/>
      <c r="D14" s="30"/>
      <c r="E14">
        <v>0.47</v>
      </c>
      <c r="F14">
        <v>28223</v>
      </c>
      <c r="G14">
        <f t="shared" si="0"/>
        <v>13264.81</v>
      </c>
      <c r="H14">
        <v>2099</v>
      </c>
      <c r="I14">
        <f t="shared" si="1"/>
        <v>986.53</v>
      </c>
      <c r="L14">
        <v>24600</v>
      </c>
      <c r="M14">
        <v>2250</v>
      </c>
      <c r="N14">
        <v>0.47</v>
      </c>
      <c r="O14">
        <f t="shared" si="4"/>
        <v>24600</v>
      </c>
      <c r="P14">
        <f t="shared" si="2"/>
        <v>11562</v>
      </c>
      <c r="Q14">
        <f t="shared" si="5"/>
        <v>2250</v>
      </c>
      <c r="R14">
        <f t="shared" si="3"/>
        <v>1057.5</v>
      </c>
    </row>
    <row r="15" spans="1:18" x14ac:dyDescent="0.25">
      <c r="A15">
        <v>28223</v>
      </c>
      <c r="B15">
        <v>2099</v>
      </c>
      <c r="C15" s="30"/>
      <c r="D15" s="30"/>
      <c r="E15">
        <v>7.0000000000000007E-2</v>
      </c>
      <c r="F15">
        <v>28223</v>
      </c>
      <c r="G15">
        <f t="shared" si="0"/>
        <v>1975.6100000000001</v>
      </c>
      <c r="H15">
        <v>2099</v>
      </c>
      <c r="I15">
        <f t="shared" si="1"/>
        <v>146.93</v>
      </c>
      <c r="L15">
        <v>24600</v>
      </c>
      <c r="M15">
        <v>2250</v>
      </c>
      <c r="N15">
        <v>7.0000000000000007E-2</v>
      </c>
      <c r="O15">
        <f t="shared" si="4"/>
        <v>24600</v>
      </c>
      <c r="P15">
        <f t="shared" si="2"/>
        <v>1722.0000000000002</v>
      </c>
      <c r="Q15">
        <f t="shared" si="5"/>
        <v>2250</v>
      </c>
      <c r="R15">
        <f t="shared" si="3"/>
        <v>157.50000000000003</v>
      </c>
    </row>
    <row r="16" spans="1:18" x14ac:dyDescent="0.25">
      <c r="A16">
        <v>28462</v>
      </c>
      <c r="B16">
        <v>2115</v>
      </c>
      <c r="C16" s="30"/>
      <c r="D16" s="30"/>
      <c r="E16">
        <v>0.08</v>
      </c>
      <c r="F16">
        <v>28462</v>
      </c>
      <c r="G16">
        <f t="shared" si="0"/>
        <v>2276.96</v>
      </c>
      <c r="H16">
        <v>2115</v>
      </c>
      <c r="I16">
        <f t="shared" si="1"/>
        <v>169.20000000000002</v>
      </c>
      <c r="L16">
        <v>24600</v>
      </c>
      <c r="M16">
        <v>2250</v>
      </c>
      <c r="N16">
        <v>0.08</v>
      </c>
      <c r="O16">
        <f t="shared" si="4"/>
        <v>24600</v>
      </c>
      <c r="P16">
        <f t="shared" si="2"/>
        <v>1968</v>
      </c>
      <c r="Q16">
        <f t="shared" si="5"/>
        <v>2250</v>
      </c>
      <c r="R16">
        <f t="shared" si="3"/>
        <v>180</v>
      </c>
    </row>
    <row r="17" spans="1:21" x14ac:dyDescent="0.25">
      <c r="A17">
        <v>28462</v>
      </c>
      <c r="B17">
        <v>2115</v>
      </c>
      <c r="C17" s="30"/>
      <c r="D17" s="30"/>
      <c r="E17">
        <v>0.17</v>
      </c>
      <c r="F17">
        <v>28462</v>
      </c>
      <c r="G17">
        <f t="shared" si="0"/>
        <v>4838.54</v>
      </c>
      <c r="H17">
        <v>2115</v>
      </c>
      <c r="I17">
        <f t="shared" si="1"/>
        <v>359.55</v>
      </c>
      <c r="L17">
        <v>24600</v>
      </c>
      <c r="M17">
        <v>2250</v>
      </c>
      <c r="N17">
        <v>0.17</v>
      </c>
      <c r="O17">
        <f t="shared" si="4"/>
        <v>24600</v>
      </c>
      <c r="P17">
        <f t="shared" si="2"/>
        <v>4182</v>
      </c>
      <c r="Q17">
        <f t="shared" si="5"/>
        <v>2250</v>
      </c>
      <c r="R17">
        <f t="shared" si="3"/>
        <v>382.5</v>
      </c>
    </row>
    <row r="18" spans="1:21" x14ac:dyDescent="0.25">
      <c r="A18">
        <v>28462</v>
      </c>
      <c r="B18">
        <v>2115</v>
      </c>
      <c r="C18" s="30"/>
      <c r="D18" s="30"/>
      <c r="E18">
        <v>0.02</v>
      </c>
      <c r="F18">
        <v>28462</v>
      </c>
      <c r="G18">
        <f t="shared" si="0"/>
        <v>569.24</v>
      </c>
      <c r="H18">
        <v>2115</v>
      </c>
      <c r="I18">
        <f t="shared" si="1"/>
        <v>42.300000000000004</v>
      </c>
      <c r="L18">
        <v>24600</v>
      </c>
      <c r="M18">
        <v>2250</v>
      </c>
      <c r="N18">
        <v>0.02</v>
      </c>
      <c r="O18">
        <f t="shared" si="4"/>
        <v>24600</v>
      </c>
      <c r="P18">
        <f t="shared" si="2"/>
        <v>492</v>
      </c>
      <c r="Q18">
        <f t="shared" si="5"/>
        <v>2250</v>
      </c>
      <c r="R18">
        <f t="shared" si="3"/>
        <v>45</v>
      </c>
    </row>
    <row r="19" spans="1:21" x14ac:dyDescent="0.25">
      <c r="A19">
        <v>28585</v>
      </c>
      <c r="B19">
        <v>2127</v>
      </c>
      <c r="C19" s="30"/>
      <c r="D19" s="30"/>
      <c r="E19">
        <v>0.27</v>
      </c>
      <c r="F19">
        <v>28585</v>
      </c>
      <c r="G19">
        <f t="shared" si="0"/>
        <v>7717.9500000000007</v>
      </c>
      <c r="H19">
        <v>2127</v>
      </c>
      <c r="I19">
        <f t="shared" si="1"/>
        <v>574.29000000000008</v>
      </c>
      <c r="L19">
        <v>24600</v>
      </c>
      <c r="M19">
        <v>2250</v>
      </c>
      <c r="N19">
        <v>0.27</v>
      </c>
      <c r="O19">
        <f t="shared" si="4"/>
        <v>24600</v>
      </c>
      <c r="P19">
        <f t="shared" si="2"/>
        <v>6642</v>
      </c>
      <c r="Q19">
        <f t="shared" si="5"/>
        <v>2250</v>
      </c>
      <c r="R19">
        <f t="shared" si="3"/>
        <v>607.5</v>
      </c>
    </row>
    <row r="21" spans="1:21" x14ac:dyDescent="0.25">
      <c r="E21">
        <f>SUM(E5:E19)</f>
        <v>2.3000000000000003</v>
      </c>
      <c r="G21" s="34">
        <f>SUM(G5:G19)</f>
        <v>64482.509999999995</v>
      </c>
      <c r="I21" s="28">
        <f>SUM(I5:I19)</f>
        <v>4803.1699999999992</v>
      </c>
      <c r="N21">
        <f>SUM(N5:N19)</f>
        <v>2.3000000000000003</v>
      </c>
      <c r="P21" s="34">
        <f>SUM(P5:P19)</f>
        <v>56580</v>
      </c>
      <c r="R21" s="28">
        <f>SUM(R5:R19)</f>
        <v>5175</v>
      </c>
    </row>
    <row r="24" spans="1:21" x14ac:dyDescent="0.25">
      <c r="T24" s="78" t="s">
        <v>48</v>
      </c>
      <c r="U24" s="78"/>
    </row>
    <row r="25" spans="1:21" ht="60" x14ac:dyDescent="0.25">
      <c r="F25" s="27" t="s">
        <v>49</v>
      </c>
      <c r="G25" s="41">
        <f>G21/E21</f>
        <v>28035.873913043473</v>
      </c>
      <c r="O25" s="27" t="s">
        <v>49</v>
      </c>
      <c r="P25" s="41">
        <f>P21/N21</f>
        <v>24599.999999999996</v>
      </c>
      <c r="T25" s="27" t="s">
        <v>49</v>
      </c>
      <c r="U25" s="41">
        <f>P25-G25</f>
        <v>-3435.8739130434769</v>
      </c>
    </row>
    <row r="27" spans="1:21" ht="90" x14ac:dyDescent="0.25">
      <c r="F27" s="26" t="s">
        <v>50</v>
      </c>
      <c r="G27" s="42">
        <f>I21/E21</f>
        <v>2088.3347826086951</v>
      </c>
      <c r="O27" s="26" t="s">
        <v>50</v>
      </c>
      <c r="P27" s="42">
        <f>R21/N21</f>
        <v>2249.9999999999995</v>
      </c>
      <c r="T27" s="26" t="s">
        <v>50</v>
      </c>
      <c r="U27" s="42">
        <f>P27-G27</f>
        <v>161.6652173913044</v>
      </c>
    </row>
  </sheetData>
  <sheetProtection algorithmName="SHA-512" hashValue="rodWrqbsmhOfB+qSkVsOYlGk2Wn9B2wJ2EjEnYI+J9ftTXmYbDpoTiMtzOY1+4tgYfTiRRptm4TfjW19DHMIoA==" saltValue="9qp0Tv2lCvmtcXtY8/mNDg==" spinCount="100000" sheet="1" objects="1" scenarios="1"/>
  <mergeCells count="8">
    <mergeCell ref="T24:U24"/>
    <mergeCell ref="A2:I2"/>
    <mergeCell ref="C3:D3"/>
    <mergeCell ref="F4:G4"/>
    <mergeCell ref="H4:I4"/>
    <mergeCell ref="L2:R2"/>
    <mergeCell ref="O4:P4"/>
    <mergeCell ref="Q4:R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Nev 49 Final Forecast</vt:lpstr>
      <vt:lpstr>NEV 49 Summary</vt:lpstr>
      <vt:lpstr>2016 Traffic Volume Book </vt:lpstr>
      <vt:lpstr>2035-Build &amp; No Build TransCAD</vt:lpstr>
      <vt:lpstr>2012-TransCAD_CT Vols</vt:lpstr>
      <vt:lpstr>'2035-Build &amp; No Build TransCAD'!Print_Area</vt:lpstr>
      <vt:lpstr>'Nev 49 Final Forecast'!Print_Area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Bhullar, Jasmin@DOT</dc:creator>
  <cp:lastModifiedBy>Owner</cp:lastModifiedBy>
  <cp:lastPrinted>2019-02-26T19:58:19Z</cp:lastPrinted>
  <dcterms:created xsi:type="dcterms:W3CDTF">2018-06-29T19:14:04Z</dcterms:created>
  <dcterms:modified xsi:type="dcterms:W3CDTF">2019-03-02T01:13:29Z</dcterms:modified>
</cp:coreProperties>
</file>